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n\Desktop\"/>
    </mc:Choice>
  </mc:AlternateContent>
  <xr:revisionPtr revIDLastSave="0" documentId="8_{CA194D49-F1FF-408E-8FF1-25EBB661B0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2" i="1" l="1"/>
  <c r="S90" i="1"/>
  <c r="S57" i="1"/>
  <c r="S81" i="1"/>
  <c r="S112" i="1"/>
  <c r="S75" i="1"/>
  <c r="S72" i="1"/>
  <c r="S58" i="1"/>
  <c r="S29" i="1"/>
  <c r="S12" i="1"/>
  <c r="S9" i="1"/>
  <c r="S21" i="1"/>
  <c r="S6" i="1"/>
  <c r="O112" i="1"/>
  <c r="O58" i="1"/>
  <c r="O57" i="1"/>
  <c r="O61" i="1"/>
  <c r="O69" i="1"/>
  <c r="O73" i="1"/>
  <c r="O72" i="1"/>
  <c r="N52" i="1"/>
  <c r="O52" i="1" s="1"/>
  <c r="O9" i="1"/>
  <c r="O6" i="1"/>
  <c r="E58" i="1"/>
  <c r="E112" i="1"/>
  <c r="E57" i="1"/>
  <c r="E90" i="1"/>
  <c r="E108" i="1"/>
  <c r="E103" i="1"/>
  <c r="E99" i="1"/>
  <c r="E71" i="1"/>
  <c r="E88" i="1"/>
  <c r="E98" i="1"/>
  <c r="E87" i="1"/>
  <c r="E84" i="1"/>
  <c r="E83" i="1"/>
  <c r="E104" i="1"/>
  <c r="E110" i="1"/>
  <c r="E6" i="1"/>
  <c r="E43" i="1"/>
  <c r="E36" i="1"/>
  <c r="E35" i="1"/>
  <c r="E34" i="1"/>
  <c r="E29" i="1"/>
  <c r="E26" i="1"/>
  <c r="I81" i="1"/>
  <c r="I104" i="1"/>
  <c r="I101" i="1"/>
  <c r="I99" i="1"/>
  <c r="I72" i="1"/>
  <c r="I73" i="1"/>
  <c r="I61" i="1"/>
  <c r="I34" i="1"/>
  <c r="I10" i="1"/>
  <c r="I9" i="1"/>
  <c r="I6" i="1"/>
  <c r="I112" i="1"/>
  <c r="I58" i="1"/>
  <c r="I57" i="1"/>
  <c r="J58" i="1"/>
  <c r="K58" i="1" s="1"/>
  <c r="K112" i="1"/>
  <c r="K99" i="1"/>
  <c r="K78" i="1"/>
  <c r="K77" i="1"/>
  <c r="K98" i="1"/>
  <c r="K92" i="1"/>
  <c r="K72" i="1"/>
  <c r="K75" i="1"/>
  <c r="K57" i="1"/>
  <c r="K29" i="1"/>
  <c r="K50" i="1"/>
  <c r="K36" i="1"/>
  <c r="K15" i="1"/>
  <c r="K19" i="1"/>
  <c r="K18" i="1"/>
  <c r="K17" i="1"/>
  <c r="K16" i="1"/>
  <c r="K20" i="1"/>
  <c r="K14" i="1"/>
  <c r="K13" i="1"/>
  <c r="K12" i="1"/>
  <c r="K11" i="1"/>
  <c r="K10" i="1"/>
  <c r="K9" i="1"/>
  <c r="K25" i="1"/>
  <c r="J25" i="1"/>
  <c r="K24" i="1"/>
  <c r="K21" i="1"/>
  <c r="K6" i="1"/>
  <c r="M112" i="1" l="1"/>
  <c r="M58" i="1"/>
  <c r="G86" i="1"/>
  <c r="G78" i="1"/>
  <c r="G59" i="1"/>
  <c r="G73" i="1"/>
  <c r="G72" i="1"/>
  <c r="G71" i="1"/>
  <c r="G75" i="1"/>
  <c r="G112" i="1"/>
  <c r="G58" i="1"/>
  <c r="G57" i="1"/>
  <c r="L57" i="1" l="1"/>
  <c r="M57" i="1" s="1"/>
  <c r="L101" i="1"/>
  <c r="M101" i="1" s="1"/>
  <c r="L100" i="1"/>
  <c r="L99" i="1"/>
  <c r="M69" i="1"/>
  <c r="M75" i="1"/>
  <c r="M50" i="1"/>
  <c r="L49" i="1"/>
  <c r="M49" i="1" s="1"/>
  <c r="L48" i="1"/>
  <c r="L47" i="1"/>
  <c r="L46" i="1"/>
  <c r="L45" i="1"/>
  <c r="L44" i="1"/>
  <c r="L43" i="1"/>
  <c r="L34" i="1"/>
  <c r="M34" i="1" s="1"/>
  <c r="L24" i="1"/>
  <c r="L12" i="1"/>
  <c r="L11" i="1"/>
  <c r="L10" i="1"/>
  <c r="L9" i="1"/>
  <c r="M6" i="1"/>
  <c r="Q58" i="1"/>
  <c r="Q69" i="1"/>
  <c r="Q66" i="1"/>
  <c r="Q73" i="1"/>
  <c r="Q98" i="1"/>
  <c r="Q60" i="1"/>
  <c r="Q50" i="1"/>
  <c r="Q43" i="1"/>
  <c r="Q6" i="1"/>
  <c r="S73" i="1"/>
  <c r="S88" i="1" l="1"/>
  <c r="S71" i="1"/>
  <c r="M100" i="1"/>
  <c r="M99" i="1"/>
  <c r="M48" i="1"/>
  <c r="M45" i="1"/>
  <c r="M44" i="1"/>
  <c r="M46" i="1"/>
  <c r="M47" i="1"/>
  <c r="M43" i="1"/>
  <c r="M24" i="1"/>
  <c r="M21" i="1"/>
  <c r="M10" i="1"/>
  <c r="M11" i="1"/>
  <c r="M12" i="1"/>
  <c r="M9" i="1"/>
  <c r="G50" i="1"/>
  <c r="M114" i="1" l="1"/>
  <c r="M116" i="1" s="1"/>
  <c r="E75" i="1"/>
  <c r="E31" i="1"/>
  <c r="E15" i="1"/>
  <c r="E10" i="1"/>
  <c r="E14" i="1"/>
  <c r="E21" i="1"/>
  <c r="G9" i="1" l="1"/>
  <c r="G6" i="1"/>
  <c r="Q57" i="1" l="1"/>
  <c r="I94" i="1" l="1"/>
  <c r="O21" i="1"/>
  <c r="G123" i="1"/>
  <c r="F123" i="1" l="1"/>
  <c r="S54" i="1" l="1"/>
  <c r="G83" i="1"/>
  <c r="E59" i="1"/>
  <c r="H29" i="1"/>
  <c r="I29" i="1" s="1"/>
  <c r="I21" i="1"/>
  <c r="Q59" i="1"/>
  <c r="Q114" i="1" s="1"/>
  <c r="S39" i="1" l="1"/>
  <c r="S11" i="1"/>
  <c r="S114" i="1" s="1"/>
  <c r="O88" i="1"/>
  <c r="O71" i="1"/>
  <c r="O114" i="1"/>
  <c r="G25" i="1"/>
  <c r="G24" i="1"/>
  <c r="G21" i="1"/>
  <c r="G114" i="1" s="1"/>
  <c r="G116" i="1" s="1"/>
  <c r="Q116" i="1"/>
  <c r="E73" i="1"/>
  <c r="E39" i="1"/>
  <c r="E13" i="1"/>
  <c r="E9" i="1"/>
  <c r="E114" i="1" s="1"/>
  <c r="E12" i="1"/>
  <c r="E11" i="1"/>
  <c r="I75" i="1"/>
  <c r="I71" i="1"/>
  <c r="I114" i="1" s="1"/>
  <c r="K71" i="1"/>
  <c r="K88" i="1"/>
  <c r="K73" i="1"/>
  <c r="K43" i="1"/>
  <c r="K35" i="1"/>
  <c r="K34" i="1"/>
  <c r="K114" i="1" l="1"/>
  <c r="K116" i="1" s="1"/>
  <c r="O116" i="1"/>
  <c r="I121" i="1" l="1"/>
  <c r="I123" i="1" s="1"/>
  <c r="I116" i="1"/>
  <c r="E116" i="1"/>
  <c r="S116" i="1"/>
  <c r="E118" i="1" l="1"/>
  <c r="I118" i="1"/>
  <c r="S118" i="1"/>
  <c r="M118" i="1"/>
  <c r="G118" i="1"/>
  <c r="Q118" i="1"/>
  <c r="K118" i="1"/>
  <c r="O118" i="1"/>
</calcChain>
</file>

<file path=xl/sharedStrings.xml><?xml version="1.0" encoding="utf-8"?>
<sst xmlns="http://schemas.openxmlformats.org/spreadsheetml/2006/main" count="153" uniqueCount="82">
  <si>
    <t>Tillæggets navn</t>
  </si>
  <si>
    <t>Skole</t>
  </si>
  <si>
    <t>Helsingør</t>
  </si>
  <si>
    <t>Pris</t>
  </si>
  <si>
    <t>I alt</t>
  </si>
  <si>
    <t>Hornbæk</t>
  </si>
  <si>
    <t>Hellebæk</t>
  </si>
  <si>
    <t>Espergærde</t>
  </si>
  <si>
    <t>Tikøb</t>
  </si>
  <si>
    <t>Snekkersten</t>
  </si>
  <si>
    <t>K/F</t>
  </si>
  <si>
    <t>k</t>
  </si>
  <si>
    <t>01.04.2010 eller lign.</t>
  </si>
  <si>
    <t>Ekstra linjefag</t>
  </si>
  <si>
    <t>TR uddannelse</t>
  </si>
  <si>
    <t>f</t>
  </si>
  <si>
    <t>Inklusionsvejleder</t>
  </si>
  <si>
    <t>Fagudvalgsformand</t>
  </si>
  <si>
    <t>Bibliotekuddannelse</t>
  </si>
  <si>
    <t>Læsevejleder</t>
  </si>
  <si>
    <t>DA2</t>
  </si>
  <si>
    <t>Speciallæreruddannelse</t>
  </si>
  <si>
    <t>Bøh.leder kval</t>
  </si>
  <si>
    <t>Skolebestyrelse</t>
  </si>
  <si>
    <t>Koordinatorer (fase, team, basis)</t>
  </si>
  <si>
    <t>Talent</t>
  </si>
  <si>
    <t>Haveprojekt</t>
  </si>
  <si>
    <t>Indskolingstillæg</t>
  </si>
  <si>
    <t>Pædagogisk udvalg</t>
  </si>
  <si>
    <t>Pædagogisk IT ansvarlig/IT patrulje</t>
  </si>
  <si>
    <t>Alle får</t>
  </si>
  <si>
    <t>Ikke alle får</t>
  </si>
  <si>
    <t>FUNKTIONSTILLÆG</t>
  </si>
  <si>
    <t>KVALIFIKATIONSTILLÆG</t>
  </si>
  <si>
    <t>Tilsyn/indkøb</t>
  </si>
  <si>
    <t>Testlærer</t>
  </si>
  <si>
    <t>PC kørekort/IT-vejleder</t>
  </si>
  <si>
    <t>Tillægget gives oftest som et ekstra løntrin, derfor variation i løndelens størrelse.</t>
  </si>
  <si>
    <t xml:space="preserve">I alt i netto '00-kroner </t>
  </si>
  <si>
    <t>Antal kr./lærer</t>
  </si>
  <si>
    <t>Diplomuddannelse</t>
  </si>
  <si>
    <t>Oftest udmøntet som løntrin</t>
  </si>
  <si>
    <t>SAMLET LØNSUM I KOMMUNEN PÅ OMRÅDET</t>
  </si>
  <si>
    <t>GENNEMSNITLIGT ÅRLIGT LOKALSLØNSTILLÆG</t>
  </si>
  <si>
    <t>ANTAL LÆRERE/BØH.LEDERE OMFATTET</t>
  </si>
  <si>
    <t>Antal lærere+Bøh.ledere</t>
  </si>
  <si>
    <t>10.klasse</t>
  </si>
  <si>
    <t>ADHD</t>
  </si>
  <si>
    <t>SSP</t>
  </si>
  <si>
    <t>PLC læringscenter</t>
  </si>
  <si>
    <t>2016-2017</t>
  </si>
  <si>
    <t>2015-2016</t>
  </si>
  <si>
    <t>#</t>
  </si>
  <si>
    <t>$</t>
  </si>
  <si>
    <t>SKOLEÅR</t>
  </si>
  <si>
    <t>Andre opgaver</t>
  </si>
  <si>
    <t>Arbejdets særlige karakter</t>
  </si>
  <si>
    <t>2017-2018</t>
  </si>
  <si>
    <t>Klasselærer/teamsarb.klasse</t>
  </si>
  <si>
    <t>NV - ombygning</t>
  </si>
  <si>
    <t>Innovations koordinator</t>
  </si>
  <si>
    <t>Nygård</t>
  </si>
  <si>
    <t xml:space="preserve">Ressourceecenter </t>
  </si>
  <si>
    <t>2019-2020</t>
  </si>
  <si>
    <t>Opgørelse af lokale lønmidler - skoleåret 21/22</t>
  </si>
  <si>
    <t>Ulempegodtgørelse 17-06</t>
  </si>
  <si>
    <t>Helsingør tillæg</t>
  </si>
  <si>
    <t>Tværfagligt forum*løvdal/bregne</t>
  </si>
  <si>
    <t>2021-2022</t>
  </si>
  <si>
    <t>AMR + TR+AMED</t>
  </si>
  <si>
    <t>Andre tillæg (innovation, H2O,Erasmus+))</t>
  </si>
  <si>
    <t>Vejledere</t>
  </si>
  <si>
    <t>Skemalægger lille</t>
  </si>
  <si>
    <t>Elevrådskoordinator</t>
  </si>
  <si>
    <t xml:space="preserve">Specialkoordinator </t>
  </si>
  <si>
    <t>Særlig indsats linjer/vejviser</t>
  </si>
  <si>
    <t>LØFT</t>
  </si>
  <si>
    <t>Særligt tillæg hist.</t>
  </si>
  <si>
    <t>Rådgvier/TF/specialuv.pers.</t>
  </si>
  <si>
    <t>VARIATION FRA GENNEMSNITTET 2021/22</t>
  </si>
  <si>
    <t>Indgår i skoletillæg</t>
  </si>
  <si>
    <t>Antal kr./lærer sidste aftale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</si>
</sst>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Wingdings 3"/>
      <family val="1"/>
      <charset val="2"/>
    </font>
    <font>
      <b/>
      <sz val="10"/>
      <color theme="0" tint="-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164" fontId="1" fillId="0" borderId="0" xfId="1" applyFont="1"/>
    <xf numFmtId="164" fontId="3" fillId="0" borderId="0" xfId="0" applyNumberFormat="1" applyFont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5" fillId="5" borderId="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3" borderId="3" xfId="0" applyFont="1" applyFill="1" applyBorder="1" applyAlignment="1"/>
    <xf numFmtId="0" fontId="6" fillId="3" borderId="12" xfId="0" applyFont="1" applyFill="1" applyBorder="1" applyAlignment="1"/>
    <xf numFmtId="0" fontId="6" fillId="3" borderId="13" xfId="0" applyFont="1" applyFill="1" applyBorder="1" applyAlignment="1"/>
    <xf numFmtId="0" fontId="6" fillId="0" borderId="0" xfId="0" applyFont="1"/>
    <xf numFmtId="164" fontId="5" fillId="2" borderId="6" xfId="1" applyFont="1" applyFill="1" applyBorder="1" applyAlignment="1">
      <alignment horizontal="center"/>
    </xf>
    <xf numFmtId="164" fontId="5" fillId="2" borderId="16" xfId="1" applyFont="1" applyFill="1" applyBorder="1" applyAlignment="1">
      <alignment horizontal="center"/>
    </xf>
    <xf numFmtId="0" fontId="5" fillId="0" borderId="1" xfId="0" applyFont="1" applyBorder="1"/>
    <xf numFmtId="164" fontId="5" fillId="0" borderId="17" xfId="1" applyFont="1" applyFill="1" applyBorder="1"/>
    <xf numFmtId="164" fontId="5" fillId="0" borderId="18" xfId="1" applyFont="1" applyFill="1" applyBorder="1"/>
    <xf numFmtId="164" fontId="5" fillId="0" borderId="6" xfId="1" applyFont="1" applyFill="1" applyBorder="1"/>
    <xf numFmtId="164" fontId="5" fillId="0" borderId="16" xfId="1" applyFont="1" applyFill="1" applyBorder="1"/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/>
    <xf numFmtId="0" fontId="5" fillId="0" borderId="1" xfId="0" applyFont="1" applyFill="1" applyBorder="1"/>
    <xf numFmtId="0" fontId="7" fillId="0" borderId="1" xfId="0" applyFont="1" applyBorder="1" applyAlignment="1">
      <alignment horizontal="left" vertical="top" wrapText="1"/>
    </xf>
    <xf numFmtId="164" fontId="5" fillId="0" borderId="0" xfId="1" applyFont="1" applyFill="1" applyBorder="1"/>
    <xf numFmtId="0" fontId="7" fillId="0" borderId="1" xfId="0" applyFont="1" applyBorder="1"/>
    <xf numFmtId="164" fontId="5" fillId="0" borderId="7" xfId="1" applyFont="1" applyFill="1" applyBorder="1"/>
    <xf numFmtId="164" fontId="5" fillId="0" borderId="15" xfId="1" applyFont="1" applyFill="1" applyBorder="1"/>
    <xf numFmtId="0" fontId="6" fillId="6" borderId="12" xfId="0" applyFont="1" applyFill="1" applyBorder="1" applyAlignment="1"/>
    <xf numFmtId="0" fontId="6" fillId="6" borderId="13" xfId="0" applyFont="1" applyFill="1" applyBorder="1" applyAlignme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64" fontId="5" fillId="0" borderId="6" xfId="1" applyNumberFormat="1" applyFont="1" applyFill="1" applyBorder="1"/>
    <xf numFmtId="164" fontId="5" fillId="0" borderId="16" xfId="1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0" borderId="19" xfId="0" applyFont="1" applyFill="1" applyBorder="1" applyAlignment="1">
      <alignment horizontal="center" vertical="center"/>
    </xf>
    <xf numFmtId="164" fontId="6" fillId="0" borderId="24" xfId="0" applyNumberFormat="1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8" fillId="0" borderId="6" xfId="0" applyFont="1" applyFill="1" applyBorder="1" applyAlignment="1">
      <alignment horizontal="center" vertical="center"/>
    </xf>
    <xf numFmtId="164" fontId="9" fillId="0" borderId="28" xfId="0" applyNumberFormat="1" applyFont="1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4" borderId="12" xfId="0" applyFont="1" applyFill="1" applyBorder="1"/>
    <xf numFmtId="0" fontId="5" fillId="4" borderId="3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5" xfId="0" applyFont="1" applyFill="1" applyBorder="1"/>
    <xf numFmtId="164" fontId="5" fillId="0" borderId="0" xfId="0" applyNumberFormat="1" applyFont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5" fillId="0" borderId="7" xfId="0" applyFont="1" applyFill="1" applyBorder="1"/>
    <xf numFmtId="0" fontId="5" fillId="0" borderId="15" xfId="0" applyFont="1" applyFill="1" applyBorder="1"/>
    <xf numFmtId="0" fontId="6" fillId="6" borderId="3" xfId="0" applyFont="1" applyFill="1" applyBorder="1" applyAlignment="1"/>
    <xf numFmtId="164" fontId="5" fillId="7" borderId="6" xfId="1" applyFont="1" applyFill="1" applyBorder="1" applyAlignment="1">
      <alignment horizontal="center"/>
    </xf>
    <xf numFmtId="164" fontId="5" fillId="7" borderId="16" xfId="1" applyFont="1" applyFill="1" applyBorder="1" applyAlignment="1">
      <alignment horizontal="center"/>
    </xf>
    <xf numFmtId="164" fontId="5" fillId="0" borderId="1" xfId="1" applyFont="1" applyFill="1" applyBorder="1"/>
    <xf numFmtId="0" fontId="5" fillId="0" borderId="6" xfId="0" applyFont="1" applyFill="1" applyBorder="1"/>
    <xf numFmtId="0" fontId="5" fillId="0" borderId="16" xfId="0" applyFont="1" applyFill="1" applyBorder="1"/>
    <xf numFmtId="164" fontId="5" fillId="0" borderId="2" xfId="1" applyFont="1" applyFill="1" applyBorder="1"/>
    <xf numFmtId="164" fontId="5" fillId="0" borderId="0" xfId="1" applyNumberFormat="1" applyFont="1" applyFill="1" applyBorder="1"/>
    <xf numFmtId="0" fontId="8" fillId="0" borderId="21" xfId="0" applyFont="1" applyFill="1" applyBorder="1" applyAlignment="1">
      <alignment horizontal="center" vertical="center"/>
    </xf>
    <xf numFmtId="164" fontId="6" fillId="0" borderId="26" xfId="0" applyNumberFormat="1" applyFont="1" applyFill="1" applyBorder="1"/>
    <xf numFmtId="0" fontId="8" fillId="0" borderId="22" xfId="0" applyFont="1" applyFill="1" applyBorder="1" applyAlignment="1">
      <alignment horizontal="center" vertical="center"/>
    </xf>
    <xf numFmtId="164" fontId="9" fillId="0" borderId="27" xfId="0" applyNumberFormat="1" applyFont="1" applyFill="1" applyBorder="1"/>
    <xf numFmtId="0" fontId="8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65" fontId="6" fillId="4" borderId="9" xfId="0" applyNumberFormat="1" applyFont="1" applyFill="1" applyBorder="1"/>
    <xf numFmtId="165" fontId="6" fillId="4" borderId="9" xfId="1" applyNumberFormat="1" applyFont="1" applyFill="1" applyBorder="1"/>
    <xf numFmtId="165" fontId="6" fillId="4" borderId="10" xfId="1" applyNumberFormat="1" applyFont="1" applyFill="1" applyBorder="1"/>
    <xf numFmtId="165" fontId="6" fillId="4" borderId="11" xfId="0" applyNumberFormat="1" applyFont="1" applyFill="1" applyBorder="1"/>
    <xf numFmtId="165" fontId="6" fillId="4" borderId="11" xfId="1" applyNumberFormat="1" applyFont="1" applyFill="1" applyBorder="1"/>
    <xf numFmtId="164" fontId="10" fillId="0" borderId="25" xfId="0" applyNumberFormat="1" applyFont="1" applyFill="1" applyBorder="1"/>
    <xf numFmtId="164" fontId="11" fillId="0" borderId="25" xfId="0" applyNumberFormat="1" applyFont="1" applyFill="1" applyBorder="1"/>
    <xf numFmtId="164" fontId="10" fillId="0" borderId="20" xfId="0" applyNumberFormat="1" applyFont="1" applyFill="1" applyBorder="1"/>
    <xf numFmtId="164" fontId="5" fillId="0" borderId="6" xfId="1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52"/>
  <sheetViews>
    <sheetView tabSelected="1" topLeftCell="A82" zoomScale="91" zoomScaleNormal="91" workbookViewId="0">
      <selection activeCell="L124" sqref="L124"/>
    </sheetView>
  </sheetViews>
  <sheetFormatPr defaultRowHeight="15" x14ac:dyDescent="0.25"/>
  <cols>
    <col min="1" max="1" width="4" customWidth="1"/>
    <col min="2" max="2" width="27" customWidth="1"/>
    <col min="3" max="3" width="7.42578125" customWidth="1"/>
    <col min="4" max="4" width="13.140625" customWidth="1"/>
    <col min="5" max="5" width="16.42578125" bestFit="1" customWidth="1"/>
    <col min="6" max="6" width="15.42578125" bestFit="1" customWidth="1"/>
    <col min="7" max="7" width="15.85546875" customWidth="1"/>
    <col min="8" max="9" width="15.42578125" bestFit="1" customWidth="1"/>
    <col min="10" max="10" width="12.7109375" bestFit="1" customWidth="1"/>
    <col min="11" max="11" width="15.42578125" bestFit="1" customWidth="1"/>
    <col min="12" max="13" width="15.42578125" customWidth="1"/>
    <col min="14" max="14" width="13.85546875" bestFit="1" customWidth="1"/>
    <col min="15" max="15" width="14.5703125" bestFit="1" customWidth="1"/>
    <col min="16" max="16" width="12.7109375" bestFit="1" customWidth="1"/>
    <col min="17" max="17" width="14.5703125" bestFit="1" customWidth="1"/>
    <col min="18" max="18" width="13.28515625" bestFit="1" customWidth="1"/>
    <col min="19" max="19" width="16.140625" bestFit="1" customWidth="1"/>
    <col min="21" max="21" width="15.42578125" bestFit="1" customWidth="1"/>
  </cols>
  <sheetData>
    <row r="1" spans="2:19" ht="23.25" x14ac:dyDescent="0.35">
      <c r="B1" s="1" t="s">
        <v>64</v>
      </c>
      <c r="P1" s="7"/>
      <c r="Q1" s="7"/>
    </row>
    <row r="2" spans="2:19" s="8" customFormat="1" ht="13.5" thickBot="1" x14ac:dyDescent="0.25">
      <c r="D2" s="8" t="s">
        <v>1</v>
      </c>
      <c r="P2" s="9"/>
      <c r="Q2" s="9"/>
    </row>
    <row r="3" spans="2:19" s="8" customFormat="1" ht="12.75" x14ac:dyDescent="0.2">
      <c r="C3" s="10"/>
      <c r="D3" s="11" t="s">
        <v>2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1" t="s">
        <v>61</v>
      </c>
      <c r="M3" s="12"/>
      <c r="N3" s="11" t="s">
        <v>8</v>
      </c>
      <c r="O3" s="12"/>
      <c r="P3" s="11" t="s">
        <v>46</v>
      </c>
      <c r="Q3" s="12"/>
      <c r="R3" s="11" t="s">
        <v>9</v>
      </c>
      <c r="S3" s="12"/>
    </row>
    <row r="4" spans="2:19" s="8" customFormat="1" ht="13.5" thickBot="1" x14ac:dyDescent="0.25">
      <c r="B4" s="13" t="s">
        <v>0</v>
      </c>
      <c r="C4" s="14" t="s">
        <v>10</v>
      </c>
      <c r="D4" s="67" t="s">
        <v>3</v>
      </c>
      <c r="E4" s="68" t="s">
        <v>4</v>
      </c>
      <c r="F4" s="67" t="s">
        <v>3</v>
      </c>
      <c r="G4" s="68" t="s">
        <v>4</v>
      </c>
      <c r="H4" s="67" t="s">
        <v>3</v>
      </c>
      <c r="I4" s="68" t="s">
        <v>4</v>
      </c>
      <c r="J4" s="67" t="s">
        <v>3</v>
      </c>
      <c r="K4" s="68" t="s">
        <v>4</v>
      </c>
      <c r="L4" s="67" t="s">
        <v>3</v>
      </c>
      <c r="M4" s="68" t="s">
        <v>4</v>
      </c>
      <c r="N4" s="67" t="s">
        <v>3</v>
      </c>
      <c r="O4" s="68" t="s">
        <v>4</v>
      </c>
      <c r="P4" s="67" t="s">
        <v>3</v>
      </c>
      <c r="Q4" s="68" t="s">
        <v>4</v>
      </c>
      <c r="R4" s="67" t="s">
        <v>3</v>
      </c>
      <c r="S4" s="68" t="s">
        <v>4</v>
      </c>
    </row>
    <row r="5" spans="2:19" s="18" customFormat="1" ht="13.5" thickBot="1" x14ac:dyDescent="0.25">
      <c r="B5" s="15" t="s">
        <v>33</v>
      </c>
      <c r="C5" s="15"/>
      <c r="D5" s="36"/>
      <c r="E5" s="37"/>
      <c r="F5" s="36"/>
      <c r="G5" s="37"/>
      <c r="H5" s="36"/>
      <c r="I5" s="37"/>
      <c r="J5" s="36"/>
      <c r="K5" s="37"/>
      <c r="L5" s="69"/>
      <c r="M5" s="69"/>
      <c r="N5" s="36"/>
      <c r="O5" s="37"/>
      <c r="P5" s="36"/>
      <c r="Q5" s="37"/>
      <c r="R5" s="36"/>
      <c r="S5" s="17"/>
    </row>
    <row r="6" spans="2:19" s="8" customFormat="1" ht="12.75" x14ac:dyDescent="0.2">
      <c r="B6" s="10" t="s">
        <v>12</v>
      </c>
      <c r="C6" s="10" t="s">
        <v>11</v>
      </c>
      <c r="D6" s="24">
        <v>3900</v>
      </c>
      <c r="E6" s="25">
        <f>52*D6+3900</f>
        <v>206700</v>
      </c>
      <c r="F6" s="24">
        <v>3900</v>
      </c>
      <c r="G6" s="25">
        <f>(23+4)*F6</f>
        <v>105300</v>
      </c>
      <c r="H6" s="24">
        <v>3900</v>
      </c>
      <c r="I6" s="25">
        <f>H6*42</f>
        <v>163800</v>
      </c>
      <c r="J6" s="24">
        <v>3900</v>
      </c>
      <c r="K6" s="25">
        <f>J6*135</f>
        <v>526500</v>
      </c>
      <c r="L6" s="32">
        <v>3900</v>
      </c>
      <c r="M6" s="32">
        <f>L6*14.5</f>
        <v>56550</v>
      </c>
      <c r="N6" s="24">
        <v>3900</v>
      </c>
      <c r="O6" s="25">
        <f>9*N6</f>
        <v>35100</v>
      </c>
      <c r="P6" s="24">
        <v>3900</v>
      </c>
      <c r="Q6" s="25">
        <f>P6*8</f>
        <v>31200</v>
      </c>
      <c r="R6" s="24">
        <v>3900</v>
      </c>
      <c r="S6" s="25">
        <f>R6*36</f>
        <v>140400</v>
      </c>
    </row>
    <row r="7" spans="2:19" s="8" customFormat="1" ht="12.75" x14ac:dyDescent="0.2">
      <c r="B7" s="10"/>
      <c r="C7" s="10"/>
      <c r="D7" s="19" t="s">
        <v>31</v>
      </c>
      <c r="E7" s="20"/>
      <c r="F7" s="19" t="s">
        <v>31</v>
      </c>
      <c r="G7" s="20"/>
      <c r="H7" s="19" t="s">
        <v>31</v>
      </c>
      <c r="I7" s="20"/>
      <c r="J7" s="70" t="s">
        <v>30</v>
      </c>
      <c r="K7" s="71"/>
      <c r="L7" s="19" t="s">
        <v>31</v>
      </c>
      <c r="M7" s="20"/>
      <c r="N7" s="70" t="s">
        <v>30</v>
      </c>
      <c r="O7" s="71"/>
      <c r="P7" s="70" t="s">
        <v>30</v>
      </c>
      <c r="Q7" s="71"/>
      <c r="R7" s="19" t="s">
        <v>31</v>
      </c>
      <c r="S7" s="20"/>
    </row>
    <row r="8" spans="2:19" s="8" customFormat="1" ht="12.75" x14ac:dyDescent="0.2">
      <c r="B8" s="21"/>
      <c r="C8" s="21"/>
      <c r="D8" s="22"/>
      <c r="E8" s="23"/>
      <c r="F8" s="22"/>
      <c r="G8" s="23"/>
      <c r="H8" s="22"/>
      <c r="I8" s="23"/>
      <c r="J8" s="22"/>
      <c r="K8" s="23"/>
      <c r="L8" s="72"/>
      <c r="M8" s="72"/>
      <c r="N8" s="22"/>
      <c r="O8" s="23"/>
      <c r="P8" s="22"/>
      <c r="Q8" s="23"/>
      <c r="R8" s="22"/>
      <c r="S8" s="23"/>
    </row>
    <row r="9" spans="2:19" s="8" customFormat="1" ht="12.75" x14ac:dyDescent="0.2">
      <c r="B9" s="8" t="s">
        <v>13</v>
      </c>
      <c r="C9" s="10" t="s">
        <v>11</v>
      </c>
      <c r="D9" s="24">
        <v>6610</v>
      </c>
      <c r="E9" s="25">
        <f t="shared" ref="E9:E13" si="0">D9</f>
        <v>6610</v>
      </c>
      <c r="F9" s="24">
        <v>5000</v>
      </c>
      <c r="G9" s="25">
        <f>F9*5</f>
        <v>25000</v>
      </c>
      <c r="H9" s="24">
        <v>4500</v>
      </c>
      <c r="I9" s="25">
        <f>8*4500</f>
        <v>36000</v>
      </c>
      <c r="J9" s="24">
        <v>6610</v>
      </c>
      <c r="K9" s="25">
        <f>J9</f>
        <v>6610</v>
      </c>
      <c r="L9" s="32">
        <f>9798/1.442796</f>
        <v>6790.9808455249395</v>
      </c>
      <c r="M9" s="32">
        <f>L9</f>
        <v>6790.9808455249395</v>
      </c>
      <c r="N9" s="24">
        <v>12644</v>
      </c>
      <c r="O9" s="25">
        <f>N9</f>
        <v>12644</v>
      </c>
      <c r="P9" s="24"/>
      <c r="Q9" s="25"/>
      <c r="R9" s="24">
        <v>6610</v>
      </c>
      <c r="S9" s="25">
        <f>1*R9</f>
        <v>6610</v>
      </c>
    </row>
    <row r="10" spans="2:19" s="8" customFormat="1" ht="12.75" x14ac:dyDescent="0.2">
      <c r="C10" s="10"/>
      <c r="D10" s="24">
        <v>4303</v>
      </c>
      <c r="E10" s="25">
        <f>D10*2</f>
        <v>8606</v>
      </c>
      <c r="F10" s="24"/>
      <c r="G10" s="25"/>
      <c r="H10" s="24">
        <v>5000</v>
      </c>
      <c r="I10" s="25">
        <f>4*H10</f>
        <v>20000</v>
      </c>
      <c r="J10" s="24">
        <v>6637</v>
      </c>
      <c r="K10" s="25">
        <f>J10</f>
        <v>6637</v>
      </c>
      <c r="L10" s="32">
        <f>9280/1.442796</f>
        <v>6431.9557304012487</v>
      </c>
      <c r="M10" s="32">
        <f t="shared" ref="M10:M12" si="1">L10</f>
        <v>6431.9557304012487</v>
      </c>
      <c r="N10" s="24"/>
      <c r="O10" s="25"/>
      <c r="P10" s="24"/>
      <c r="Q10" s="25"/>
      <c r="R10" s="24"/>
      <c r="S10" s="25"/>
    </row>
    <row r="11" spans="2:19" s="8" customFormat="1" ht="12.75" x14ac:dyDescent="0.2">
      <c r="B11" s="26" t="s">
        <v>37</v>
      </c>
      <c r="C11" s="10"/>
      <c r="D11" s="24">
        <v>4375</v>
      </c>
      <c r="E11" s="25">
        <f t="shared" si="0"/>
        <v>4375</v>
      </c>
      <c r="F11" s="24"/>
      <c r="G11" s="25"/>
      <c r="H11" s="24"/>
      <c r="I11" s="25"/>
      <c r="J11" s="24">
        <v>3880</v>
      </c>
      <c r="K11" s="25">
        <f>J11</f>
        <v>3880</v>
      </c>
      <c r="L11" s="32">
        <f>6312/1.442796</f>
        <v>4374.8388545574007</v>
      </c>
      <c r="M11" s="32">
        <f t="shared" si="1"/>
        <v>4374.8388545574007</v>
      </c>
      <c r="N11" s="24"/>
      <c r="O11" s="25"/>
      <c r="P11" s="24"/>
      <c r="Q11" s="25"/>
      <c r="R11" s="24">
        <v>3944</v>
      </c>
      <c r="S11" s="25">
        <f>R11</f>
        <v>3944</v>
      </c>
    </row>
    <row r="12" spans="2:19" s="8" customFormat="1" ht="12.75" x14ac:dyDescent="0.2">
      <c r="B12" s="27"/>
      <c r="C12" s="10"/>
      <c r="D12" s="24">
        <v>3000</v>
      </c>
      <c r="E12" s="25">
        <f t="shared" si="0"/>
        <v>3000</v>
      </c>
      <c r="F12" s="24"/>
      <c r="G12" s="25"/>
      <c r="H12" s="24"/>
      <c r="I12" s="25"/>
      <c r="J12" s="24">
        <v>6433</v>
      </c>
      <c r="K12" s="25">
        <f>J12</f>
        <v>6433</v>
      </c>
      <c r="L12" s="32">
        <f>5598/1.442796</f>
        <v>3879.9663985760981</v>
      </c>
      <c r="M12" s="32">
        <f t="shared" si="1"/>
        <v>3879.9663985760981</v>
      </c>
      <c r="N12" s="24"/>
      <c r="O12" s="25"/>
      <c r="P12" s="24"/>
      <c r="Q12" s="25"/>
      <c r="R12" s="24">
        <v>5000</v>
      </c>
      <c r="S12" s="25">
        <f>8*R12</f>
        <v>40000</v>
      </c>
    </row>
    <row r="13" spans="2:19" s="8" customFormat="1" ht="12.75" x14ac:dyDescent="0.2">
      <c r="B13" s="27"/>
      <c r="C13" s="10"/>
      <c r="D13" s="24">
        <v>3500</v>
      </c>
      <c r="E13" s="25">
        <f t="shared" si="0"/>
        <v>3500</v>
      </c>
      <c r="F13" s="24"/>
      <c r="G13" s="25"/>
      <c r="H13" s="24"/>
      <c r="I13" s="25"/>
      <c r="J13" s="24">
        <v>6039</v>
      </c>
      <c r="K13" s="25">
        <f>J13</f>
        <v>6039</v>
      </c>
      <c r="L13" s="32"/>
      <c r="M13" s="32"/>
      <c r="N13" s="24"/>
      <c r="O13" s="25"/>
      <c r="P13" s="24"/>
      <c r="Q13" s="25"/>
      <c r="R13" s="24"/>
      <c r="S13" s="25"/>
    </row>
    <row r="14" spans="2:19" s="8" customFormat="1" ht="12.75" x14ac:dyDescent="0.2">
      <c r="B14" s="27"/>
      <c r="C14" s="10"/>
      <c r="D14" s="24">
        <v>5000</v>
      </c>
      <c r="E14" s="25">
        <f>D14*6</f>
        <v>30000</v>
      </c>
      <c r="F14" s="24"/>
      <c r="G14" s="25"/>
      <c r="H14" s="24"/>
      <c r="I14" s="25"/>
      <c r="J14" s="24">
        <v>4375</v>
      </c>
      <c r="K14" s="25">
        <f>J14</f>
        <v>4375</v>
      </c>
      <c r="L14" s="32"/>
      <c r="M14" s="32"/>
      <c r="N14" s="24"/>
      <c r="O14" s="25"/>
      <c r="P14" s="24"/>
      <c r="Q14" s="25"/>
      <c r="R14" s="24"/>
      <c r="S14" s="25"/>
    </row>
    <row r="15" spans="2:19" s="8" customFormat="1" ht="12.75" x14ac:dyDescent="0.2">
      <c r="B15" s="27"/>
      <c r="C15" s="10"/>
      <c r="D15" s="24">
        <v>8000</v>
      </c>
      <c r="E15" s="25">
        <f>D15</f>
        <v>8000</v>
      </c>
      <c r="F15" s="24"/>
      <c r="G15" s="25"/>
      <c r="H15" s="24"/>
      <c r="I15" s="25"/>
      <c r="J15" s="24">
        <v>4325</v>
      </c>
      <c r="K15" s="25">
        <f>J15*4</f>
        <v>17300</v>
      </c>
      <c r="L15" s="32"/>
      <c r="M15" s="32"/>
      <c r="N15" s="24"/>
      <c r="O15" s="25"/>
      <c r="P15" s="24"/>
      <c r="Q15" s="25"/>
      <c r="R15" s="24"/>
      <c r="S15" s="25"/>
    </row>
    <row r="16" spans="2:19" s="8" customFormat="1" ht="12.75" x14ac:dyDescent="0.2">
      <c r="B16" s="28"/>
      <c r="C16" s="10"/>
      <c r="D16" s="24"/>
      <c r="E16" s="25"/>
      <c r="F16" s="24"/>
      <c r="G16" s="25"/>
      <c r="H16" s="24"/>
      <c r="I16" s="25"/>
      <c r="J16" s="24">
        <v>3460</v>
      </c>
      <c r="K16" s="25">
        <f>J16</f>
        <v>3460</v>
      </c>
      <c r="L16" s="32"/>
      <c r="M16" s="32"/>
      <c r="N16" s="24"/>
      <c r="O16" s="25"/>
      <c r="P16" s="24"/>
      <c r="Q16" s="25"/>
      <c r="R16" s="24"/>
      <c r="S16" s="25"/>
    </row>
    <row r="17" spans="2:19" s="8" customFormat="1" ht="12.75" x14ac:dyDescent="0.2">
      <c r="B17" s="28"/>
      <c r="C17" s="10"/>
      <c r="D17" s="24"/>
      <c r="E17" s="25"/>
      <c r="F17" s="24"/>
      <c r="G17" s="25"/>
      <c r="H17" s="24"/>
      <c r="I17" s="25"/>
      <c r="J17" s="24">
        <v>3900</v>
      </c>
      <c r="K17" s="25">
        <f>J17*2</f>
        <v>7800</v>
      </c>
      <c r="L17" s="32"/>
      <c r="M17" s="32"/>
      <c r="N17" s="24"/>
      <c r="O17" s="25"/>
      <c r="P17" s="24"/>
      <c r="Q17" s="25"/>
      <c r="R17" s="24"/>
      <c r="S17" s="25"/>
    </row>
    <row r="18" spans="2:19" s="8" customFormat="1" ht="12.75" x14ac:dyDescent="0.2">
      <c r="B18" s="28"/>
      <c r="C18" s="10"/>
      <c r="D18" s="24"/>
      <c r="E18" s="25"/>
      <c r="F18" s="24"/>
      <c r="G18" s="25"/>
      <c r="H18" s="24"/>
      <c r="I18" s="25"/>
      <c r="J18" s="24">
        <v>3858</v>
      </c>
      <c r="K18" s="25">
        <f>J18</f>
        <v>3858</v>
      </c>
      <c r="L18" s="32"/>
      <c r="M18" s="32"/>
      <c r="N18" s="24"/>
      <c r="O18" s="25"/>
      <c r="P18" s="24"/>
      <c r="Q18" s="25"/>
      <c r="R18" s="24"/>
      <c r="S18" s="25"/>
    </row>
    <row r="19" spans="2:19" s="8" customFormat="1" ht="12.75" x14ac:dyDescent="0.2">
      <c r="B19" s="28"/>
      <c r="C19" s="10"/>
      <c r="D19" s="24"/>
      <c r="E19" s="25"/>
      <c r="F19" s="24"/>
      <c r="G19" s="25"/>
      <c r="H19" s="24"/>
      <c r="I19" s="25"/>
      <c r="J19" s="24">
        <v>5000</v>
      </c>
      <c r="K19" s="25">
        <f>J19*3</f>
        <v>15000</v>
      </c>
      <c r="L19" s="32"/>
      <c r="M19" s="32"/>
      <c r="N19" s="24"/>
      <c r="O19" s="25"/>
      <c r="P19" s="24"/>
      <c r="Q19" s="25"/>
      <c r="R19" s="24"/>
      <c r="S19" s="25"/>
    </row>
    <row r="20" spans="2:19" s="8" customFormat="1" ht="12.75" x14ac:dyDescent="0.2">
      <c r="B20" s="21"/>
      <c r="C20" s="21"/>
      <c r="D20" s="22"/>
      <c r="E20" s="23"/>
      <c r="F20" s="22"/>
      <c r="G20" s="23"/>
      <c r="H20" s="22"/>
      <c r="I20" s="23"/>
      <c r="J20" s="22">
        <v>6644</v>
      </c>
      <c r="K20" s="23">
        <f>J20</f>
        <v>6644</v>
      </c>
      <c r="L20" s="72"/>
      <c r="M20" s="72"/>
      <c r="N20" s="22"/>
      <c r="O20" s="23"/>
      <c r="P20" s="22"/>
      <c r="Q20" s="23"/>
      <c r="R20" s="22"/>
      <c r="S20" s="23"/>
    </row>
    <row r="21" spans="2:19" s="8" customFormat="1" ht="12.75" x14ac:dyDescent="0.2">
      <c r="B21" s="8" t="s">
        <v>14</v>
      </c>
      <c r="C21" s="10" t="s">
        <v>11</v>
      </c>
      <c r="D21" s="24">
        <v>6000</v>
      </c>
      <c r="E21" s="25">
        <f>5*D21</f>
        <v>30000</v>
      </c>
      <c r="F21" s="24">
        <v>6000</v>
      </c>
      <c r="G21" s="25">
        <f>3*F21</f>
        <v>18000</v>
      </c>
      <c r="H21" s="24">
        <v>6000</v>
      </c>
      <c r="I21" s="25">
        <f>2*H21</f>
        <v>12000</v>
      </c>
      <c r="J21" s="24">
        <v>6000</v>
      </c>
      <c r="K21" s="25">
        <f>J21*5</f>
        <v>30000</v>
      </c>
      <c r="L21" s="32">
        <v>6000</v>
      </c>
      <c r="M21" s="32">
        <f>L21</f>
        <v>6000</v>
      </c>
      <c r="N21" s="24">
        <v>6000</v>
      </c>
      <c r="O21" s="25">
        <f>N21</f>
        <v>6000</v>
      </c>
      <c r="P21" s="24">
        <v>6000</v>
      </c>
      <c r="Q21" s="25">
        <v>6000</v>
      </c>
      <c r="R21" s="24">
        <v>6000</v>
      </c>
      <c r="S21" s="25">
        <f>5*R21</f>
        <v>30000</v>
      </c>
    </row>
    <row r="22" spans="2:19" s="8" customFormat="1" ht="12.75" x14ac:dyDescent="0.2">
      <c r="C22" s="29"/>
      <c r="D22" s="24"/>
      <c r="E22" s="25"/>
      <c r="F22" s="24"/>
      <c r="G22" s="25"/>
      <c r="H22" s="24"/>
      <c r="I22" s="25"/>
      <c r="J22" s="24"/>
      <c r="K22" s="25"/>
      <c r="L22" s="32"/>
      <c r="M22" s="32"/>
      <c r="N22" s="24"/>
      <c r="O22" s="25"/>
      <c r="P22" s="24"/>
      <c r="Q22" s="25"/>
      <c r="R22" s="24"/>
      <c r="S22" s="25"/>
    </row>
    <row r="23" spans="2:19" s="8" customFormat="1" ht="12.75" x14ac:dyDescent="0.2">
      <c r="B23" s="21"/>
      <c r="C23" s="30"/>
      <c r="D23" s="22"/>
      <c r="E23" s="23"/>
      <c r="F23" s="22"/>
      <c r="G23" s="23"/>
      <c r="H23" s="22"/>
      <c r="I23" s="23"/>
      <c r="J23" s="22"/>
      <c r="K23" s="23"/>
      <c r="L23" s="72"/>
      <c r="M23" s="72"/>
      <c r="N23" s="22"/>
      <c r="O23" s="23"/>
      <c r="P23" s="22"/>
      <c r="Q23" s="23"/>
      <c r="R23" s="22"/>
      <c r="S23" s="23"/>
    </row>
    <row r="24" spans="2:19" s="8" customFormat="1" ht="12.75" x14ac:dyDescent="0.2">
      <c r="B24" s="8" t="s">
        <v>18</v>
      </c>
      <c r="C24" s="29" t="s">
        <v>11</v>
      </c>
      <c r="D24" s="24"/>
      <c r="E24" s="25"/>
      <c r="F24" s="24">
        <v>4303</v>
      </c>
      <c r="G24" s="25">
        <f>F24</f>
        <v>4303</v>
      </c>
      <c r="H24" s="24"/>
      <c r="I24" s="25"/>
      <c r="J24" s="24">
        <v>6610</v>
      </c>
      <c r="K24" s="25">
        <f>J24*1</f>
        <v>6610</v>
      </c>
      <c r="L24" s="32">
        <f>6209/1.442796</f>
        <v>4303.4496907393705</v>
      </c>
      <c r="M24" s="32">
        <f>L24</f>
        <v>4303.4496907393705</v>
      </c>
      <c r="N24" s="24"/>
      <c r="O24" s="25"/>
      <c r="P24" s="24"/>
      <c r="Q24" s="25"/>
      <c r="R24" s="24">
        <v>5000</v>
      </c>
      <c r="S24" s="25">
        <v>5000</v>
      </c>
    </row>
    <row r="25" spans="2:19" s="8" customFormat="1" ht="12.75" x14ac:dyDescent="0.2">
      <c r="C25" s="29"/>
      <c r="D25" s="24"/>
      <c r="E25" s="25"/>
      <c r="F25" s="24">
        <v>6432</v>
      </c>
      <c r="G25" s="25">
        <f>F25</f>
        <v>6432</v>
      </c>
      <c r="H25" s="24"/>
      <c r="I25" s="25"/>
      <c r="J25" s="24">
        <f>6432</f>
        <v>6432</v>
      </c>
      <c r="K25" s="25">
        <f>J25</f>
        <v>6432</v>
      </c>
      <c r="L25" s="32"/>
      <c r="M25" s="32"/>
      <c r="N25" s="24"/>
      <c r="O25" s="25"/>
      <c r="P25" s="24"/>
      <c r="Q25" s="25"/>
      <c r="R25" s="24"/>
      <c r="S25" s="25"/>
    </row>
    <row r="26" spans="2:19" s="8" customFormat="1" ht="12.75" x14ac:dyDescent="0.2">
      <c r="B26" s="26" t="s">
        <v>37</v>
      </c>
      <c r="C26" s="29"/>
      <c r="D26" s="24">
        <v>4303</v>
      </c>
      <c r="E26" s="25">
        <f>D26*2</f>
        <v>8606</v>
      </c>
      <c r="F26" s="24"/>
      <c r="G26" s="25"/>
      <c r="H26" s="24"/>
      <c r="I26" s="25"/>
      <c r="J26" s="24"/>
      <c r="K26" s="25"/>
      <c r="L26" s="32"/>
      <c r="M26" s="32"/>
      <c r="N26" s="24"/>
      <c r="O26" s="25"/>
      <c r="P26" s="24"/>
      <c r="Q26" s="25"/>
      <c r="R26" s="24"/>
      <c r="S26" s="25"/>
    </row>
    <row r="27" spans="2:19" s="8" customFormat="1" ht="12.75" x14ac:dyDescent="0.2">
      <c r="B27" s="26"/>
      <c r="C27" s="29"/>
      <c r="D27" s="24"/>
      <c r="E27" s="25"/>
      <c r="F27" s="24"/>
      <c r="G27" s="25"/>
      <c r="H27" s="24"/>
      <c r="I27" s="25"/>
      <c r="J27" s="24"/>
      <c r="K27" s="25"/>
      <c r="L27" s="32"/>
      <c r="M27" s="32"/>
      <c r="N27" s="24"/>
      <c r="O27" s="25"/>
      <c r="P27" s="24"/>
      <c r="Q27" s="25"/>
      <c r="R27" s="24"/>
      <c r="S27" s="25"/>
    </row>
    <row r="28" spans="2:19" s="8" customFormat="1" ht="12.75" x14ac:dyDescent="0.2">
      <c r="B28" s="31"/>
      <c r="C28" s="30"/>
      <c r="D28" s="22"/>
      <c r="E28" s="23"/>
      <c r="F28" s="22"/>
      <c r="G28" s="23"/>
      <c r="H28" s="22"/>
      <c r="I28" s="23"/>
      <c r="J28" s="22"/>
      <c r="K28" s="23"/>
      <c r="L28" s="72"/>
      <c r="M28" s="72"/>
      <c r="N28" s="22"/>
      <c r="O28" s="23"/>
      <c r="P28" s="22"/>
      <c r="Q28" s="23"/>
      <c r="R28" s="22"/>
      <c r="S28" s="23"/>
    </row>
    <row r="29" spans="2:19" s="8" customFormat="1" ht="12.75" x14ac:dyDescent="0.2">
      <c r="B29" s="8" t="s">
        <v>40</v>
      </c>
      <c r="C29" s="29" t="s">
        <v>11</v>
      </c>
      <c r="D29" s="24">
        <v>2000</v>
      </c>
      <c r="E29" s="25">
        <f>D29</f>
        <v>2000</v>
      </c>
      <c r="F29" s="24"/>
      <c r="G29" s="25"/>
      <c r="H29" s="24">
        <f>8000</f>
        <v>8000</v>
      </c>
      <c r="I29" s="25">
        <f>H29</f>
        <v>8000</v>
      </c>
      <c r="J29" s="24">
        <v>8000</v>
      </c>
      <c r="K29" s="25">
        <f>12*J29</f>
        <v>96000</v>
      </c>
      <c r="L29" s="32"/>
      <c r="M29" s="32"/>
      <c r="N29" s="24"/>
      <c r="O29" s="25"/>
      <c r="P29" s="24"/>
      <c r="Q29" s="25"/>
      <c r="R29" s="24">
        <v>8000</v>
      </c>
      <c r="S29" s="25">
        <f>R29</f>
        <v>8000</v>
      </c>
    </row>
    <row r="30" spans="2:19" s="8" customFormat="1" ht="12.75" x14ac:dyDescent="0.2">
      <c r="C30" s="29"/>
      <c r="D30" s="24"/>
      <c r="E30" s="25"/>
      <c r="F30" s="24"/>
      <c r="G30" s="25"/>
      <c r="H30" s="24"/>
      <c r="I30" s="25"/>
      <c r="J30" s="24"/>
      <c r="K30" s="25"/>
      <c r="L30" s="32"/>
      <c r="M30" s="32"/>
      <c r="N30" s="24"/>
      <c r="O30" s="25"/>
      <c r="P30" s="24"/>
      <c r="Q30" s="25"/>
      <c r="R30" s="24"/>
      <c r="S30" s="25"/>
    </row>
    <row r="31" spans="2:19" s="8" customFormat="1" ht="12.75" x14ac:dyDescent="0.2">
      <c r="C31" s="29"/>
      <c r="D31" s="24">
        <v>8000</v>
      </c>
      <c r="E31" s="25">
        <f>D31</f>
        <v>8000</v>
      </c>
      <c r="F31" s="24"/>
      <c r="G31" s="25"/>
      <c r="H31" s="24"/>
      <c r="I31" s="25"/>
      <c r="J31" s="24"/>
      <c r="K31" s="25"/>
      <c r="L31" s="32"/>
      <c r="M31" s="32"/>
      <c r="N31" s="24"/>
      <c r="O31" s="25"/>
      <c r="P31" s="24"/>
      <c r="Q31" s="25"/>
      <c r="R31" s="24"/>
      <c r="S31" s="25"/>
    </row>
    <row r="32" spans="2:19" s="8" customFormat="1" ht="12.75" x14ac:dyDescent="0.2">
      <c r="C32" s="29"/>
      <c r="D32" s="24"/>
      <c r="E32" s="25"/>
      <c r="F32" s="24"/>
      <c r="G32" s="25"/>
      <c r="H32" s="73"/>
      <c r="I32" s="74"/>
      <c r="J32" s="73"/>
      <c r="K32" s="74"/>
      <c r="L32" s="29"/>
      <c r="M32" s="29"/>
      <c r="N32" s="24"/>
      <c r="O32" s="25"/>
      <c r="P32" s="24"/>
      <c r="Q32" s="25"/>
      <c r="R32" s="24"/>
      <c r="S32" s="25"/>
    </row>
    <row r="33" spans="2:19" s="8" customFormat="1" ht="12.75" x14ac:dyDescent="0.2">
      <c r="B33" s="21"/>
      <c r="C33" s="21"/>
      <c r="D33" s="22"/>
      <c r="E33" s="23"/>
      <c r="F33" s="22"/>
      <c r="G33" s="23"/>
      <c r="H33" s="22"/>
      <c r="I33" s="23"/>
      <c r="J33" s="22"/>
      <c r="K33" s="23"/>
      <c r="L33" s="72"/>
      <c r="M33" s="72"/>
      <c r="N33" s="22"/>
      <c r="O33" s="23"/>
      <c r="P33" s="22"/>
      <c r="Q33" s="23"/>
      <c r="R33" s="22"/>
      <c r="S33" s="23"/>
    </row>
    <row r="34" spans="2:19" s="8" customFormat="1" ht="12.75" x14ac:dyDescent="0.2">
      <c r="B34" s="8" t="s">
        <v>19</v>
      </c>
      <c r="C34" s="10" t="s">
        <v>11</v>
      </c>
      <c r="D34" s="24">
        <v>6610</v>
      </c>
      <c r="E34" s="25">
        <f>1*D34</f>
        <v>6610</v>
      </c>
      <c r="F34" s="24"/>
      <c r="G34" s="25"/>
      <c r="H34" s="24">
        <v>5000</v>
      </c>
      <c r="I34" s="25">
        <f>5*H34</f>
        <v>25000</v>
      </c>
      <c r="J34" s="24">
        <v>5400</v>
      </c>
      <c r="K34" s="25">
        <f>J34</f>
        <v>5400</v>
      </c>
      <c r="L34" s="32">
        <f>5691/1.442796</f>
        <v>3944.4245756156797</v>
      </c>
      <c r="M34" s="32">
        <f>L34</f>
        <v>3944.4245756156797</v>
      </c>
      <c r="N34" s="24"/>
      <c r="O34" s="25"/>
      <c r="P34" s="24"/>
      <c r="Q34" s="25"/>
      <c r="R34" s="24"/>
      <c r="S34" s="25"/>
    </row>
    <row r="35" spans="2:19" s="8" customFormat="1" ht="12.75" x14ac:dyDescent="0.2">
      <c r="C35" s="10"/>
      <c r="D35" s="24">
        <v>4303</v>
      </c>
      <c r="E35" s="25">
        <f>D35*2</f>
        <v>8606</v>
      </c>
      <c r="F35" s="24"/>
      <c r="G35" s="25"/>
      <c r="H35" s="24"/>
      <c r="I35" s="25"/>
      <c r="J35" s="24">
        <v>4325</v>
      </c>
      <c r="K35" s="25">
        <f>J35</f>
        <v>4325</v>
      </c>
      <c r="L35" s="32"/>
      <c r="M35" s="32"/>
      <c r="N35" s="24"/>
      <c r="O35" s="25"/>
      <c r="P35" s="24"/>
      <c r="Q35" s="25"/>
      <c r="R35" s="24"/>
      <c r="S35" s="25"/>
    </row>
    <row r="36" spans="2:19" s="8" customFormat="1" ht="12.75" x14ac:dyDescent="0.2">
      <c r="B36" s="26" t="s">
        <v>37</v>
      </c>
      <c r="C36" s="10"/>
      <c r="D36" s="24">
        <v>9104</v>
      </c>
      <c r="E36" s="25">
        <f>D36</f>
        <v>9104</v>
      </c>
      <c r="F36" s="24"/>
      <c r="G36" s="25"/>
      <c r="H36" s="24"/>
      <c r="I36" s="25"/>
      <c r="J36" s="24">
        <v>10000</v>
      </c>
      <c r="K36" s="25">
        <f>3*J36</f>
        <v>30000</v>
      </c>
      <c r="L36" s="32"/>
      <c r="M36" s="32"/>
      <c r="N36" s="24"/>
      <c r="O36" s="25"/>
      <c r="P36" s="24"/>
      <c r="Q36" s="25"/>
      <c r="R36" s="24"/>
      <c r="S36" s="25"/>
    </row>
    <row r="37" spans="2:19" s="8" customFormat="1" ht="12.75" x14ac:dyDescent="0.2">
      <c r="B37" s="26"/>
      <c r="C37" s="10"/>
      <c r="D37" s="24"/>
      <c r="E37" s="25"/>
      <c r="F37" s="24"/>
      <c r="G37" s="25"/>
      <c r="H37" s="24"/>
      <c r="I37" s="25"/>
      <c r="J37" s="73"/>
      <c r="K37" s="74"/>
      <c r="L37" s="29"/>
      <c r="M37" s="29"/>
      <c r="N37" s="24"/>
      <c r="O37" s="25"/>
      <c r="P37" s="24"/>
      <c r="Q37" s="25"/>
      <c r="R37" s="24"/>
      <c r="S37" s="25"/>
    </row>
    <row r="38" spans="2:19" s="8" customFormat="1" ht="12.75" x14ac:dyDescent="0.2">
      <c r="B38" s="31"/>
      <c r="C38" s="21"/>
      <c r="D38" s="22"/>
      <c r="E38" s="23"/>
      <c r="F38" s="22"/>
      <c r="G38" s="23"/>
      <c r="H38" s="22"/>
      <c r="I38" s="23"/>
      <c r="J38" s="22"/>
      <c r="K38" s="23"/>
      <c r="L38" s="72"/>
      <c r="M38" s="72"/>
      <c r="N38" s="22"/>
      <c r="O38" s="23"/>
      <c r="P38" s="22"/>
      <c r="Q38" s="23"/>
      <c r="R38" s="22"/>
      <c r="S38" s="23"/>
    </row>
    <row r="39" spans="2:19" s="8" customFormat="1" ht="12.75" x14ac:dyDescent="0.2">
      <c r="B39" s="8" t="s">
        <v>20</v>
      </c>
      <c r="C39" s="10" t="s">
        <v>11</v>
      </c>
      <c r="D39" s="24">
        <v>4375</v>
      </c>
      <c r="E39" s="25">
        <f>D39</f>
        <v>4375</v>
      </c>
      <c r="F39" s="24"/>
      <c r="G39" s="25"/>
      <c r="H39" s="24"/>
      <c r="I39" s="25"/>
      <c r="J39" s="24"/>
      <c r="K39" s="25"/>
      <c r="L39" s="32"/>
      <c r="M39" s="32"/>
      <c r="N39" s="24"/>
      <c r="O39" s="25"/>
      <c r="P39" s="24"/>
      <c r="Q39" s="25"/>
      <c r="R39" s="24">
        <v>6432</v>
      </c>
      <c r="S39" s="25">
        <f>R39</f>
        <v>6432</v>
      </c>
    </row>
    <row r="40" spans="2:19" s="8" customFormat="1" ht="12.75" x14ac:dyDescent="0.2">
      <c r="C40" s="10"/>
      <c r="D40" s="24"/>
      <c r="E40" s="25"/>
      <c r="F40" s="24"/>
      <c r="G40" s="25"/>
      <c r="H40" s="24"/>
      <c r="I40" s="25"/>
      <c r="J40" s="24"/>
      <c r="K40" s="25"/>
      <c r="L40" s="32"/>
      <c r="M40" s="32"/>
      <c r="N40" s="24"/>
      <c r="O40" s="25"/>
      <c r="P40" s="24"/>
      <c r="Q40" s="25"/>
      <c r="R40" s="24"/>
      <c r="S40" s="25"/>
    </row>
    <row r="41" spans="2:19" s="8" customFormat="1" ht="12.75" x14ac:dyDescent="0.2">
      <c r="C41" s="10"/>
      <c r="D41" s="24"/>
      <c r="E41" s="25"/>
      <c r="F41" s="24"/>
      <c r="G41" s="25"/>
      <c r="H41" s="24"/>
      <c r="I41" s="25"/>
      <c r="J41" s="24"/>
      <c r="K41" s="25"/>
      <c r="L41" s="32"/>
      <c r="M41" s="32"/>
      <c r="N41" s="24"/>
      <c r="O41" s="25"/>
      <c r="P41" s="24"/>
      <c r="Q41" s="25"/>
      <c r="R41" s="24"/>
      <c r="S41" s="25"/>
    </row>
    <row r="42" spans="2:19" s="8" customFormat="1" ht="12.75" x14ac:dyDescent="0.2">
      <c r="B42" s="21"/>
      <c r="C42" s="21"/>
      <c r="D42" s="22"/>
      <c r="E42" s="23"/>
      <c r="F42" s="22"/>
      <c r="G42" s="23"/>
      <c r="H42" s="22"/>
      <c r="I42" s="23"/>
      <c r="J42" s="22"/>
      <c r="K42" s="23"/>
      <c r="L42" s="72"/>
      <c r="M42" s="72"/>
      <c r="N42" s="22"/>
      <c r="O42" s="23"/>
      <c r="P42" s="22"/>
      <c r="Q42" s="23"/>
      <c r="R42" s="22"/>
      <c r="S42" s="23"/>
    </row>
    <row r="43" spans="2:19" s="8" customFormat="1" ht="12.75" x14ac:dyDescent="0.2">
      <c r="B43" s="8" t="s">
        <v>21</v>
      </c>
      <c r="C43" s="10" t="s">
        <v>11</v>
      </c>
      <c r="D43" s="24">
        <v>4303</v>
      </c>
      <c r="E43" s="25">
        <f>D43*2</f>
        <v>8606</v>
      </c>
      <c r="F43" s="24"/>
      <c r="G43" s="25"/>
      <c r="H43" s="24"/>
      <c r="I43" s="25"/>
      <c r="J43" s="24">
        <v>8000</v>
      </c>
      <c r="K43" s="25">
        <f>J43</f>
        <v>8000</v>
      </c>
      <c r="L43" s="32">
        <f>9537/1.442796</f>
        <v>6610.0820906074041</v>
      </c>
      <c r="M43" s="32">
        <f>L43</f>
        <v>6610.0820906074041</v>
      </c>
      <c r="N43" s="24"/>
      <c r="O43" s="25"/>
      <c r="P43" s="24">
        <v>8313</v>
      </c>
      <c r="Q43" s="25">
        <f>P43</f>
        <v>8313</v>
      </c>
      <c r="R43" s="24"/>
      <c r="S43" s="25"/>
    </row>
    <row r="44" spans="2:19" s="8" customFormat="1" ht="12.75" x14ac:dyDescent="0.2">
      <c r="C44" s="10"/>
      <c r="D44" s="24"/>
      <c r="E44" s="25"/>
      <c r="F44" s="24"/>
      <c r="G44" s="25"/>
      <c r="H44" s="24"/>
      <c r="I44" s="25"/>
      <c r="J44" s="24"/>
      <c r="K44" s="25"/>
      <c r="L44" s="32">
        <f>3105/1.442796</f>
        <v>2152.0713947086074</v>
      </c>
      <c r="M44" s="32">
        <f t="shared" ref="M44:M48" si="2">L44</f>
        <v>2152.0713947086074</v>
      </c>
      <c r="N44" s="24"/>
      <c r="O44" s="25"/>
      <c r="P44" s="24"/>
      <c r="Q44" s="25"/>
      <c r="R44" s="24"/>
      <c r="S44" s="25"/>
    </row>
    <row r="45" spans="2:19" s="8" customFormat="1" ht="12.75" x14ac:dyDescent="0.2">
      <c r="C45" s="10"/>
      <c r="D45" s="24"/>
      <c r="E45" s="25"/>
      <c r="F45" s="24"/>
      <c r="G45" s="25"/>
      <c r="H45" s="24"/>
      <c r="I45" s="25"/>
      <c r="J45" s="24"/>
      <c r="K45" s="25"/>
      <c r="L45" s="32">
        <f>9537/1.442796</f>
        <v>6610.0820906074041</v>
      </c>
      <c r="M45" s="32">
        <f t="shared" si="2"/>
        <v>6610.0820906074041</v>
      </c>
      <c r="N45" s="24"/>
      <c r="O45" s="25"/>
      <c r="P45" s="24"/>
      <c r="Q45" s="25"/>
      <c r="R45" s="24"/>
      <c r="S45" s="25"/>
    </row>
    <row r="46" spans="2:19" s="8" customFormat="1" ht="12.75" x14ac:dyDescent="0.2">
      <c r="C46" s="10"/>
      <c r="D46" s="24"/>
      <c r="E46" s="25"/>
      <c r="F46" s="24"/>
      <c r="G46" s="25"/>
      <c r="H46" s="24"/>
      <c r="I46" s="25"/>
      <c r="J46" s="24"/>
      <c r="K46" s="25"/>
      <c r="L46" s="32">
        <f>6209/1.442796</f>
        <v>4303.4496907393705</v>
      </c>
      <c r="M46" s="32">
        <f>L46</f>
        <v>4303.4496907393705</v>
      </c>
      <c r="N46" s="24"/>
      <c r="O46" s="25"/>
      <c r="P46" s="24"/>
      <c r="Q46" s="25"/>
      <c r="R46" s="24"/>
      <c r="S46" s="25"/>
    </row>
    <row r="47" spans="2:19" s="8" customFormat="1" ht="12.75" x14ac:dyDescent="0.2">
      <c r="C47" s="10"/>
      <c r="D47" s="24"/>
      <c r="E47" s="25"/>
      <c r="F47" s="24"/>
      <c r="G47" s="25"/>
      <c r="H47" s="24"/>
      <c r="I47" s="25"/>
      <c r="J47" s="24"/>
      <c r="K47" s="25"/>
      <c r="L47" s="32">
        <f>6111/1.442796</f>
        <v>4235.5260203105636</v>
      </c>
      <c r="M47" s="32">
        <f t="shared" si="2"/>
        <v>4235.5260203105636</v>
      </c>
      <c r="N47" s="24"/>
      <c r="O47" s="25"/>
      <c r="P47" s="24"/>
      <c r="Q47" s="25"/>
      <c r="R47" s="24"/>
      <c r="S47" s="25"/>
    </row>
    <row r="48" spans="2:19" s="8" customFormat="1" ht="12.75" x14ac:dyDescent="0.2">
      <c r="C48" s="10"/>
      <c r="D48" s="24"/>
      <c r="E48" s="25"/>
      <c r="F48" s="24"/>
      <c r="G48" s="25"/>
      <c r="H48" s="24"/>
      <c r="I48" s="25"/>
      <c r="J48" s="24"/>
      <c r="K48" s="25"/>
      <c r="L48" s="32">
        <f>6209/1.442796</f>
        <v>4303.4496907393705</v>
      </c>
      <c r="M48" s="32">
        <f t="shared" si="2"/>
        <v>4303.4496907393705</v>
      </c>
      <c r="N48" s="24"/>
      <c r="O48" s="25"/>
      <c r="P48" s="24"/>
      <c r="Q48" s="25"/>
      <c r="R48" s="24"/>
      <c r="S48" s="25"/>
    </row>
    <row r="49" spans="2:19" s="8" customFormat="1" ht="12.75" x14ac:dyDescent="0.2">
      <c r="B49" s="21"/>
      <c r="C49" s="21"/>
      <c r="D49" s="22"/>
      <c r="E49" s="23"/>
      <c r="F49" s="22"/>
      <c r="G49" s="23"/>
      <c r="H49" s="22"/>
      <c r="I49" s="23"/>
      <c r="J49" s="22"/>
      <c r="K49" s="23"/>
      <c r="L49" s="72">
        <f>6209/1.442796</f>
        <v>4303.4496907393705</v>
      </c>
      <c r="M49" s="72">
        <f>L49</f>
        <v>4303.4496907393705</v>
      </c>
      <c r="N49" s="22"/>
      <c r="O49" s="23"/>
      <c r="P49" s="22"/>
      <c r="Q49" s="23"/>
      <c r="R49" s="22"/>
      <c r="S49" s="23"/>
    </row>
    <row r="50" spans="2:19" s="8" customFormat="1" ht="12.75" x14ac:dyDescent="0.2">
      <c r="B50" s="8" t="s">
        <v>36</v>
      </c>
      <c r="C50" s="10" t="s">
        <v>11</v>
      </c>
      <c r="D50" s="24"/>
      <c r="E50" s="25"/>
      <c r="F50" s="24">
        <v>2000</v>
      </c>
      <c r="G50" s="25">
        <f>9*F50</f>
        <v>18000</v>
      </c>
      <c r="H50" s="24"/>
      <c r="I50" s="25"/>
      <c r="J50" s="24">
        <v>2500</v>
      </c>
      <c r="K50" s="25">
        <f>2*J50</f>
        <v>5000</v>
      </c>
      <c r="L50" s="32">
        <v>2000</v>
      </c>
      <c r="M50" s="32">
        <f>L50</f>
        <v>2000</v>
      </c>
      <c r="N50" s="24"/>
      <c r="O50" s="25"/>
      <c r="P50" s="24">
        <v>10000</v>
      </c>
      <c r="Q50" s="25">
        <f>P50</f>
        <v>10000</v>
      </c>
      <c r="R50" s="24"/>
      <c r="S50" s="25"/>
    </row>
    <row r="51" spans="2:19" s="8" customFormat="1" ht="12.75" x14ac:dyDescent="0.2">
      <c r="B51" s="21"/>
      <c r="C51" s="21"/>
      <c r="D51" s="22"/>
      <c r="E51" s="23"/>
      <c r="F51" s="22"/>
      <c r="G51" s="23"/>
      <c r="H51" s="22"/>
      <c r="I51" s="23"/>
      <c r="J51" s="22"/>
      <c r="K51" s="23"/>
      <c r="L51" s="72"/>
      <c r="M51" s="72"/>
      <c r="N51" s="22"/>
      <c r="O51" s="23"/>
      <c r="P51" s="22"/>
      <c r="Q51" s="23"/>
      <c r="R51" s="22"/>
      <c r="S51" s="23"/>
    </row>
    <row r="52" spans="2:19" s="8" customFormat="1" ht="12.75" x14ac:dyDescent="0.2">
      <c r="B52" s="8" t="s">
        <v>22</v>
      </c>
      <c r="C52" s="10" t="s">
        <v>11</v>
      </c>
      <c r="D52" s="24"/>
      <c r="E52" s="25"/>
      <c r="F52" s="24"/>
      <c r="G52" s="25"/>
      <c r="H52" s="24"/>
      <c r="I52" s="25"/>
      <c r="J52" s="24"/>
      <c r="K52" s="25"/>
      <c r="L52" s="32"/>
      <c r="M52" s="32"/>
      <c r="N52" s="24">
        <f>6182+6066</f>
        <v>12248</v>
      </c>
      <c r="O52" s="25">
        <f>N52</f>
        <v>12248</v>
      </c>
      <c r="P52" s="24"/>
      <c r="Q52" s="25"/>
      <c r="R52" s="24"/>
      <c r="S52" s="25"/>
    </row>
    <row r="53" spans="2:19" s="8" customFormat="1" ht="12.75" x14ac:dyDescent="0.2">
      <c r="B53" s="33" t="s">
        <v>41</v>
      </c>
      <c r="C53" s="21"/>
      <c r="D53" s="22"/>
      <c r="E53" s="23"/>
      <c r="F53" s="22"/>
      <c r="G53" s="23"/>
      <c r="H53" s="22"/>
      <c r="I53" s="23"/>
      <c r="J53" s="22"/>
      <c r="K53" s="23"/>
      <c r="L53" s="72"/>
      <c r="M53" s="72"/>
      <c r="N53" s="22"/>
      <c r="O53" s="23"/>
      <c r="P53" s="22"/>
      <c r="Q53" s="23"/>
      <c r="R53" s="22"/>
      <c r="S53" s="23"/>
    </row>
    <row r="54" spans="2:19" s="8" customFormat="1" ht="12.75" x14ac:dyDescent="0.2">
      <c r="B54" s="8" t="s">
        <v>16</v>
      </c>
      <c r="C54" s="10" t="s">
        <v>11</v>
      </c>
      <c r="D54" s="24"/>
      <c r="E54" s="25"/>
      <c r="F54" s="24"/>
      <c r="G54" s="25"/>
      <c r="H54" s="24"/>
      <c r="I54" s="25"/>
      <c r="J54" s="24"/>
      <c r="K54" s="25"/>
      <c r="L54" s="32"/>
      <c r="M54" s="32"/>
      <c r="N54" s="24"/>
      <c r="O54" s="25"/>
      <c r="P54" s="24"/>
      <c r="Q54" s="25"/>
      <c r="R54" s="24">
        <v>6000</v>
      </c>
      <c r="S54" s="25">
        <f>2*R54</f>
        <v>12000</v>
      </c>
    </row>
    <row r="55" spans="2:19" s="8" customFormat="1" ht="13.5" thickBot="1" x14ac:dyDescent="0.25">
      <c r="B55" s="13"/>
      <c r="C55" s="13"/>
      <c r="D55" s="34"/>
      <c r="E55" s="35"/>
      <c r="F55" s="34"/>
      <c r="G55" s="35"/>
      <c r="H55" s="34"/>
      <c r="I55" s="35"/>
      <c r="J55" s="34"/>
      <c r="K55" s="35"/>
      <c r="L55" s="75"/>
      <c r="M55" s="75"/>
      <c r="N55" s="34"/>
      <c r="O55" s="35"/>
      <c r="P55" s="34"/>
      <c r="Q55" s="35"/>
      <c r="R55" s="34"/>
      <c r="S55" s="35"/>
    </row>
    <row r="56" spans="2:19" s="8" customFormat="1" ht="13.5" thickBot="1" x14ac:dyDescent="0.25">
      <c r="B56" s="15" t="s">
        <v>32</v>
      </c>
      <c r="C56" s="15"/>
      <c r="D56" s="16"/>
      <c r="E56" s="17"/>
      <c r="F56" s="16"/>
      <c r="G56" s="17"/>
      <c r="H56" s="16"/>
      <c r="I56" s="17"/>
      <c r="J56" s="16"/>
      <c r="K56" s="17"/>
      <c r="L56" s="15"/>
      <c r="M56" s="15"/>
      <c r="N56" s="16"/>
      <c r="O56" s="17"/>
      <c r="P56" s="16"/>
      <c r="Q56" s="17"/>
      <c r="R56" s="16"/>
      <c r="S56" s="17"/>
    </row>
    <row r="57" spans="2:19" s="8" customFormat="1" ht="12.75" x14ac:dyDescent="0.2">
      <c r="B57" s="8" t="s">
        <v>58</v>
      </c>
      <c r="C57" s="10" t="s">
        <v>15</v>
      </c>
      <c r="D57" s="24">
        <v>3600</v>
      </c>
      <c r="E57" s="25">
        <f>82*D57</f>
        <v>295200</v>
      </c>
      <c r="F57" s="24">
        <v>3600</v>
      </c>
      <c r="G57" s="25">
        <f>20*F57</f>
        <v>72000</v>
      </c>
      <c r="H57" s="24">
        <v>3600</v>
      </c>
      <c r="I57" s="25">
        <f>3000*29</f>
        <v>87000</v>
      </c>
      <c r="J57" s="24">
        <v>3600</v>
      </c>
      <c r="K57" s="25">
        <f>72*J57</f>
        <v>259200</v>
      </c>
      <c r="L57" s="32">
        <f>3600</f>
        <v>3600</v>
      </c>
      <c r="M57" s="32">
        <f>9*L57</f>
        <v>32400</v>
      </c>
      <c r="N57" s="24">
        <v>3600</v>
      </c>
      <c r="O57" s="25">
        <f>7*N57</f>
        <v>25200</v>
      </c>
      <c r="P57" s="24">
        <v>11800</v>
      </c>
      <c r="Q57" s="25">
        <f>P57*Q115</f>
        <v>94400</v>
      </c>
      <c r="R57" s="24">
        <v>3600</v>
      </c>
      <c r="S57" s="25">
        <f>70*R57</f>
        <v>252000</v>
      </c>
    </row>
    <row r="58" spans="2:19" s="8" customFormat="1" ht="12.75" x14ac:dyDescent="0.2">
      <c r="B58" s="38" t="s">
        <v>65</v>
      </c>
      <c r="C58" s="21" t="s">
        <v>15</v>
      </c>
      <c r="D58" s="22">
        <v>1000</v>
      </c>
      <c r="E58" s="23">
        <f>D58*131</f>
        <v>131000</v>
      </c>
      <c r="F58" s="22">
        <v>1000</v>
      </c>
      <c r="G58" s="23">
        <f>36*F58</f>
        <v>36000</v>
      </c>
      <c r="H58" s="22">
        <v>1000</v>
      </c>
      <c r="I58" s="23">
        <f>H58*45</f>
        <v>45000</v>
      </c>
      <c r="J58" s="22">
        <f>1000</f>
        <v>1000</v>
      </c>
      <c r="K58" s="23">
        <f>114*J58</f>
        <v>114000</v>
      </c>
      <c r="L58" s="72">
        <v>1000</v>
      </c>
      <c r="M58" s="72">
        <f>L58*25.5</f>
        <v>25500</v>
      </c>
      <c r="N58" s="22">
        <v>1000</v>
      </c>
      <c r="O58" s="23">
        <f>N58*9</f>
        <v>9000</v>
      </c>
      <c r="P58" s="22">
        <v>1002.5</v>
      </c>
      <c r="Q58" s="23">
        <f>P58*8</f>
        <v>8020</v>
      </c>
      <c r="R58" s="22">
        <v>1000</v>
      </c>
      <c r="S58" s="23">
        <f>R58*101</f>
        <v>101000</v>
      </c>
    </row>
    <row r="59" spans="2:19" s="8" customFormat="1" ht="12.75" x14ac:dyDescent="0.2">
      <c r="B59" s="8" t="s">
        <v>16</v>
      </c>
      <c r="C59" s="10" t="s">
        <v>15</v>
      </c>
      <c r="D59" s="24">
        <v>10000</v>
      </c>
      <c r="E59" s="25">
        <f>3*D59</f>
        <v>30000</v>
      </c>
      <c r="F59" s="24">
        <v>10000</v>
      </c>
      <c r="G59" s="25">
        <f>2*F59</f>
        <v>20000</v>
      </c>
      <c r="H59" s="24"/>
      <c r="I59" s="25"/>
      <c r="J59" s="24"/>
      <c r="K59" s="25"/>
      <c r="L59" s="32"/>
      <c r="M59" s="32"/>
      <c r="N59" s="24"/>
      <c r="O59" s="25"/>
      <c r="P59" s="24">
        <v>10000</v>
      </c>
      <c r="Q59" s="25">
        <f>P59</f>
        <v>10000</v>
      </c>
      <c r="R59" s="24"/>
      <c r="S59" s="25"/>
    </row>
    <row r="60" spans="2:19" s="8" customFormat="1" ht="12.75" x14ac:dyDescent="0.2">
      <c r="B60" s="8" t="s">
        <v>19</v>
      </c>
      <c r="C60" s="10" t="s">
        <v>15</v>
      </c>
      <c r="D60" s="24"/>
      <c r="E60" s="25"/>
      <c r="F60" s="24"/>
      <c r="G60" s="25"/>
      <c r="H60" s="24"/>
      <c r="I60" s="25"/>
      <c r="J60" s="24"/>
      <c r="K60" s="25"/>
      <c r="L60" s="32"/>
      <c r="M60" s="32"/>
      <c r="N60" s="24"/>
      <c r="O60" s="25"/>
      <c r="P60" s="24">
        <v>10000</v>
      </c>
      <c r="Q60" s="25">
        <f>P60</f>
        <v>10000</v>
      </c>
      <c r="R60" s="24"/>
      <c r="S60" s="25"/>
    </row>
    <row r="61" spans="2:19" s="8" customFormat="1" ht="12.75" x14ac:dyDescent="0.2">
      <c r="B61" s="8" t="s">
        <v>71</v>
      </c>
      <c r="C61" s="29" t="s">
        <v>15</v>
      </c>
      <c r="D61" s="24"/>
      <c r="E61" s="25"/>
      <c r="F61" s="24"/>
      <c r="G61" s="25"/>
      <c r="H61" s="24">
        <v>10000</v>
      </c>
      <c r="I61" s="25">
        <f>7*H61</f>
        <v>70000</v>
      </c>
      <c r="J61" s="24"/>
      <c r="K61" s="25"/>
      <c r="L61" s="32"/>
      <c r="M61" s="32"/>
      <c r="N61" s="24">
        <v>10000</v>
      </c>
      <c r="O61" s="25">
        <f>N61</f>
        <v>10000</v>
      </c>
      <c r="P61" s="24"/>
      <c r="Q61" s="25"/>
      <c r="R61" s="24"/>
      <c r="S61" s="25"/>
    </row>
    <row r="62" spans="2:19" s="8" customFormat="1" ht="12.75" x14ac:dyDescent="0.2">
      <c r="C62" s="10"/>
      <c r="D62" s="24"/>
      <c r="E62" s="25"/>
      <c r="F62" s="24"/>
      <c r="G62" s="25"/>
      <c r="H62" s="24"/>
      <c r="I62" s="25"/>
      <c r="J62" s="24"/>
      <c r="K62" s="25"/>
      <c r="L62" s="32"/>
      <c r="M62" s="32"/>
      <c r="N62" s="24"/>
      <c r="O62" s="25"/>
      <c r="P62" s="24"/>
      <c r="Q62" s="25"/>
      <c r="R62" s="24"/>
      <c r="S62" s="25"/>
    </row>
    <row r="63" spans="2:19" s="8" customFormat="1" ht="12.75" x14ac:dyDescent="0.2">
      <c r="C63" s="10"/>
      <c r="D63" s="24"/>
      <c r="E63" s="25"/>
      <c r="F63" s="24"/>
      <c r="G63" s="25"/>
      <c r="H63" s="24"/>
      <c r="I63" s="25"/>
      <c r="J63" s="24"/>
      <c r="K63" s="25"/>
      <c r="L63" s="32"/>
      <c r="M63" s="32"/>
      <c r="N63" s="24"/>
      <c r="O63" s="25"/>
      <c r="P63" s="24"/>
      <c r="Q63" s="25"/>
      <c r="R63" s="24"/>
      <c r="S63" s="25"/>
    </row>
    <row r="64" spans="2:19" s="8" customFormat="1" ht="12.75" x14ac:dyDescent="0.2">
      <c r="C64" s="10"/>
      <c r="D64" s="24"/>
      <c r="E64" s="25"/>
      <c r="F64" s="24"/>
      <c r="G64" s="25"/>
      <c r="H64" s="24"/>
      <c r="I64" s="25"/>
      <c r="J64" s="24"/>
      <c r="K64" s="25"/>
      <c r="L64" s="32"/>
      <c r="M64" s="32"/>
      <c r="N64" s="24"/>
      <c r="O64" s="25"/>
      <c r="P64" s="24"/>
      <c r="Q64" s="25"/>
      <c r="R64" s="24"/>
      <c r="S64" s="25"/>
    </row>
    <row r="65" spans="2:19" s="8" customFormat="1" ht="12.75" x14ac:dyDescent="0.2">
      <c r="B65" s="39"/>
      <c r="C65" s="21"/>
      <c r="D65" s="22"/>
      <c r="E65" s="23"/>
      <c r="F65" s="22"/>
      <c r="G65" s="23"/>
      <c r="H65" s="22"/>
      <c r="I65" s="23"/>
      <c r="J65" s="22"/>
      <c r="K65" s="23"/>
      <c r="L65" s="72"/>
      <c r="M65" s="72"/>
      <c r="N65" s="22"/>
      <c r="O65" s="23"/>
      <c r="P65" s="22"/>
      <c r="Q65" s="23"/>
      <c r="R65" s="22"/>
      <c r="S65" s="23"/>
    </row>
    <row r="66" spans="2:19" s="8" customFormat="1" ht="12.75" x14ac:dyDescent="0.2">
      <c r="B66" s="8" t="s">
        <v>34</v>
      </c>
      <c r="C66" s="29" t="s">
        <v>15</v>
      </c>
      <c r="D66" s="24"/>
      <c r="E66" s="25"/>
      <c r="F66" s="24"/>
      <c r="G66" s="25"/>
      <c r="H66" s="24"/>
      <c r="I66" s="25"/>
      <c r="J66" s="24"/>
      <c r="K66" s="25"/>
      <c r="L66" s="32"/>
      <c r="M66" s="32"/>
      <c r="N66" s="24"/>
      <c r="O66" s="25"/>
      <c r="P66" s="24">
        <v>2000</v>
      </c>
      <c r="Q66" s="25">
        <f>P66*2</f>
        <v>4000</v>
      </c>
      <c r="R66" s="24"/>
      <c r="S66" s="25"/>
    </row>
    <row r="67" spans="2:19" s="8" customFormat="1" ht="12.75" x14ac:dyDescent="0.2">
      <c r="C67" s="29"/>
      <c r="D67" s="24"/>
      <c r="E67" s="25"/>
      <c r="F67" s="24"/>
      <c r="G67" s="25"/>
      <c r="H67" s="24"/>
      <c r="I67" s="25"/>
      <c r="J67" s="24"/>
      <c r="K67" s="25"/>
      <c r="L67" s="32"/>
      <c r="M67" s="32"/>
      <c r="N67" s="24"/>
      <c r="O67" s="25"/>
      <c r="P67" s="73"/>
      <c r="Q67" s="74"/>
      <c r="R67" s="24"/>
      <c r="S67" s="25"/>
    </row>
    <row r="68" spans="2:19" s="8" customFormat="1" ht="12.75" x14ac:dyDescent="0.2">
      <c r="B68" s="21"/>
      <c r="C68" s="30"/>
      <c r="D68" s="22"/>
      <c r="E68" s="23"/>
      <c r="F68" s="22"/>
      <c r="G68" s="23"/>
      <c r="H68" s="22"/>
      <c r="I68" s="23"/>
      <c r="J68" s="22"/>
      <c r="K68" s="23"/>
      <c r="L68" s="72"/>
      <c r="M68" s="72"/>
      <c r="N68" s="22"/>
      <c r="O68" s="23"/>
      <c r="P68" s="22"/>
      <c r="Q68" s="23"/>
      <c r="R68" s="22"/>
      <c r="S68" s="23"/>
    </row>
    <row r="69" spans="2:19" s="8" customFormat="1" ht="12.75" x14ac:dyDescent="0.2">
      <c r="B69" s="8" t="s">
        <v>17</v>
      </c>
      <c r="C69" s="29" t="s">
        <v>15</v>
      </c>
      <c r="D69" s="24"/>
      <c r="E69" s="25"/>
      <c r="F69" s="24"/>
      <c r="G69" s="25"/>
      <c r="H69" s="24"/>
      <c r="I69" s="25"/>
      <c r="J69" s="24"/>
      <c r="K69" s="25"/>
      <c r="L69" s="32">
        <v>4000</v>
      </c>
      <c r="M69" s="32">
        <f>L69</f>
        <v>4000</v>
      </c>
      <c r="N69" s="24">
        <v>4000</v>
      </c>
      <c r="O69" s="25">
        <f>N69</f>
        <v>4000</v>
      </c>
      <c r="P69" s="24">
        <v>4000</v>
      </c>
      <c r="Q69" s="25">
        <f>P69*2</f>
        <v>8000</v>
      </c>
      <c r="R69" s="24"/>
      <c r="S69" s="25"/>
    </row>
    <row r="70" spans="2:19" s="8" customFormat="1" ht="12.75" x14ac:dyDescent="0.2">
      <c r="B70" s="21"/>
      <c r="C70" s="30"/>
      <c r="D70" s="22"/>
      <c r="E70" s="23"/>
      <c r="F70" s="22"/>
      <c r="G70" s="23"/>
      <c r="H70" s="22"/>
      <c r="I70" s="23"/>
      <c r="J70" s="22"/>
      <c r="K70" s="23"/>
      <c r="L70" s="72"/>
      <c r="M70" s="72"/>
      <c r="N70" s="22"/>
      <c r="O70" s="23"/>
      <c r="P70" s="22"/>
      <c r="Q70" s="23"/>
      <c r="R70" s="22"/>
      <c r="S70" s="23"/>
    </row>
    <row r="71" spans="2:19" s="8" customFormat="1" ht="12.75" x14ac:dyDescent="0.2">
      <c r="B71" s="8" t="s">
        <v>69</v>
      </c>
      <c r="C71" s="29" t="s">
        <v>15</v>
      </c>
      <c r="D71" s="24">
        <v>6000</v>
      </c>
      <c r="E71" s="25">
        <f>3*D71</f>
        <v>18000</v>
      </c>
      <c r="F71" s="24">
        <v>10000</v>
      </c>
      <c r="G71" s="25">
        <f>F71</f>
        <v>10000</v>
      </c>
      <c r="H71" s="24">
        <v>10000</v>
      </c>
      <c r="I71" s="25">
        <f>H71*2</f>
        <v>20000</v>
      </c>
      <c r="J71" s="24">
        <v>6000</v>
      </c>
      <c r="K71" s="25">
        <f>4*J71</f>
        <v>24000</v>
      </c>
      <c r="L71" s="32"/>
      <c r="M71" s="32"/>
      <c r="N71" s="24">
        <v>10000</v>
      </c>
      <c r="O71" s="25">
        <f>N71</f>
        <v>10000</v>
      </c>
      <c r="P71" s="24"/>
      <c r="Q71" s="25"/>
      <c r="R71" s="24">
        <v>10000</v>
      </c>
      <c r="S71" s="25">
        <f>4*R71</f>
        <v>40000</v>
      </c>
    </row>
    <row r="72" spans="2:19" s="8" customFormat="1" ht="12.75" x14ac:dyDescent="0.2">
      <c r="B72" s="21"/>
      <c r="C72" s="30"/>
      <c r="D72" s="22"/>
      <c r="E72" s="23"/>
      <c r="F72" s="22">
        <v>4400</v>
      </c>
      <c r="G72" s="23">
        <f>F72</f>
        <v>4400</v>
      </c>
      <c r="H72" s="22">
        <v>4400</v>
      </c>
      <c r="I72" s="23">
        <f>H72*2</f>
        <v>8800</v>
      </c>
      <c r="J72" s="22">
        <v>4400</v>
      </c>
      <c r="K72" s="23">
        <f>J72*4</f>
        <v>17600</v>
      </c>
      <c r="L72" s="72"/>
      <c r="M72" s="72"/>
      <c r="N72" s="22">
        <v>4400</v>
      </c>
      <c r="O72" s="23">
        <f>N72</f>
        <v>4400</v>
      </c>
      <c r="P72" s="22"/>
      <c r="Q72" s="23"/>
      <c r="R72" s="22">
        <v>4400</v>
      </c>
      <c r="S72" s="23">
        <f>4*R72</f>
        <v>17600</v>
      </c>
    </row>
    <row r="73" spans="2:19" s="8" customFormat="1" ht="12.75" x14ac:dyDescent="0.2">
      <c r="B73" s="8" t="s">
        <v>23</v>
      </c>
      <c r="C73" s="29" t="s">
        <v>15</v>
      </c>
      <c r="D73" s="24">
        <v>5000</v>
      </c>
      <c r="E73" s="25">
        <f>2*D73</f>
        <v>10000</v>
      </c>
      <c r="F73" s="24">
        <v>5000</v>
      </c>
      <c r="G73" s="25">
        <f>F73</f>
        <v>5000</v>
      </c>
      <c r="H73" s="24">
        <v>5000</v>
      </c>
      <c r="I73" s="25">
        <f>H73</f>
        <v>5000</v>
      </c>
      <c r="J73" s="24">
        <v>5000</v>
      </c>
      <c r="K73" s="25">
        <f>2*J73</f>
        <v>10000</v>
      </c>
      <c r="L73" s="32"/>
      <c r="M73" s="32"/>
      <c r="N73" s="24">
        <v>5000</v>
      </c>
      <c r="O73" s="25">
        <f>N73</f>
        <v>5000</v>
      </c>
      <c r="P73" s="24">
        <v>5000</v>
      </c>
      <c r="Q73" s="25">
        <f>P73</f>
        <v>5000</v>
      </c>
      <c r="R73" s="24">
        <v>5000</v>
      </c>
      <c r="S73" s="25">
        <f>2*R73</f>
        <v>10000</v>
      </c>
    </row>
    <row r="74" spans="2:19" s="8" customFormat="1" ht="12.75" x14ac:dyDescent="0.2">
      <c r="B74" s="21"/>
      <c r="C74" s="30"/>
      <c r="D74" s="22"/>
      <c r="E74" s="23"/>
      <c r="F74" s="22"/>
      <c r="G74" s="23"/>
      <c r="H74" s="22"/>
      <c r="I74" s="23"/>
      <c r="J74" s="22"/>
      <c r="K74" s="23"/>
      <c r="L74" s="72"/>
      <c r="M74" s="72"/>
      <c r="N74" s="22"/>
      <c r="O74" s="23"/>
      <c r="P74" s="22"/>
      <c r="Q74" s="23"/>
      <c r="R74" s="22"/>
      <c r="S74" s="23"/>
    </row>
    <row r="75" spans="2:19" s="8" customFormat="1" ht="12.75" x14ac:dyDescent="0.2">
      <c r="B75" s="8" t="s">
        <v>24</v>
      </c>
      <c r="C75" s="29" t="s">
        <v>15</v>
      </c>
      <c r="D75" s="24">
        <v>5000</v>
      </c>
      <c r="E75" s="25">
        <f>21*D75</f>
        <v>105000</v>
      </c>
      <c r="F75" s="24">
        <v>5000</v>
      </c>
      <c r="G75" s="25">
        <f>F75*11</f>
        <v>55000</v>
      </c>
      <c r="H75" s="24">
        <v>4000</v>
      </c>
      <c r="I75" s="25">
        <f>10*H75</f>
        <v>40000</v>
      </c>
      <c r="J75" s="24">
        <v>4000</v>
      </c>
      <c r="K75" s="25">
        <f>9*J75</f>
        <v>36000</v>
      </c>
      <c r="L75" s="32">
        <v>4000</v>
      </c>
      <c r="M75" s="32">
        <f>3*L75</f>
        <v>12000</v>
      </c>
      <c r="N75" s="24"/>
      <c r="O75" s="25"/>
      <c r="P75" s="24"/>
      <c r="Q75" s="25"/>
      <c r="R75" s="24">
        <v>4000</v>
      </c>
      <c r="S75" s="25">
        <f>12*R75</f>
        <v>48000</v>
      </c>
    </row>
    <row r="76" spans="2:19" s="8" customFormat="1" ht="12.75" x14ac:dyDescent="0.2">
      <c r="B76" s="21"/>
      <c r="C76" s="30"/>
      <c r="D76" s="22"/>
      <c r="E76" s="23"/>
      <c r="F76" s="22"/>
      <c r="G76" s="23"/>
      <c r="H76" s="22"/>
      <c r="I76" s="23"/>
      <c r="J76" s="22"/>
      <c r="K76" s="23"/>
      <c r="L76" s="72"/>
      <c r="M76" s="72"/>
      <c r="N76" s="22"/>
      <c r="O76" s="23"/>
      <c r="P76" s="22"/>
      <c r="Q76" s="23"/>
      <c r="R76" s="22"/>
      <c r="S76" s="23"/>
    </row>
    <row r="77" spans="2:19" s="8" customFormat="1" ht="12.75" x14ac:dyDescent="0.2">
      <c r="B77" s="8" t="s">
        <v>70</v>
      </c>
      <c r="C77" s="29" t="s">
        <v>15</v>
      </c>
      <c r="D77" s="24"/>
      <c r="E77" s="25"/>
      <c r="F77" s="24"/>
      <c r="G77" s="25"/>
      <c r="H77" s="24"/>
      <c r="I77" s="25"/>
      <c r="J77" s="24">
        <v>8000</v>
      </c>
      <c r="K77" s="25">
        <f>J77</f>
        <v>8000</v>
      </c>
      <c r="L77" s="32"/>
      <c r="M77" s="32"/>
      <c r="N77" s="24"/>
      <c r="O77" s="25"/>
      <c r="P77" s="24"/>
      <c r="Q77" s="25"/>
      <c r="R77" s="24"/>
      <c r="S77" s="25"/>
    </row>
    <row r="78" spans="2:19" s="8" customFormat="1" ht="12.75" x14ac:dyDescent="0.2">
      <c r="B78" s="21"/>
      <c r="C78" s="30"/>
      <c r="D78" s="22"/>
      <c r="E78" s="23"/>
      <c r="F78" s="22">
        <v>1300</v>
      </c>
      <c r="G78" s="23">
        <f>F78*2</f>
        <v>2600</v>
      </c>
      <c r="H78" s="22"/>
      <c r="I78" s="23"/>
      <c r="J78" s="22">
        <v>5000</v>
      </c>
      <c r="K78" s="23">
        <f>J78*1</f>
        <v>5000</v>
      </c>
      <c r="L78" s="72"/>
      <c r="M78" s="72"/>
      <c r="N78" s="22"/>
      <c r="O78" s="23"/>
      <c r="P78" s="22"/>
      <c r="Q78" s="23"/>
      <c r="R78" s="22"/>
      <c r="S78" s="23"/>
    </row>
    <row r="79" spans="2:19" s="8" customFormat="1" ht="12.75" x14ac:dyDescent="0.2">
      <c r="B79" s="8" t="s">
        <v>28</v>
      </c>
      <c r="C79" s="29" t="s">
        <v>15</v>
      </c>
      <c r="D79" s="24"/>
      <c r="E79" s="25"/>
      <c r="F79" s="24"/>
      <c r="G79" s="25"/>
      <c r="H79" s="24"/>
      <c r="I79" s="25"/>
      <c r="J79" s="24"/>
      <c r="K79" s="25"/>
      <c r="L79" s="32"/>
      <c r="M79" s="32"/>
      <c r="N79" s="24"/>
      <c r="O79" s="25"/>
      <c r="P79" s="24"/>
      <c r="Q79" s="25"/>
      <c r="R79" s="24"/>
      <c r="S79" s="25"/>
    </row>
    <row r="80" spans="2:19" s="8" customFormat="1" ht="12.75" x14ac:dyDescent="0.2">
      <c r="B80" s="40" t="s">
        <v>67</v>
      </c>
      <c r="C80" s="29"/>
      <c r="D80" s="24"/>
      <c r="E80" s="25"/>
      <c r="F80" s="24"/>
      <c r="G80" s="25"/>
      <c r="H80" s="24"/>
      <c r="I80" s="25"/>
      <c r="J80" s="24"/>
      <c r="K80" s="25"/>
      <c r="L80" s="32"/>
      <c r="M80" s="32"/>
      <c r="N80" s="24"/>
      <c r="O80" s="25"/>
      <c r="P80" s="24"/>
      <c r="Q80" s="25"/>
      <c r="R80" s="24"/>
      <c r="S80" s="25"/>
    </row>
    <row r="81" spans="2:19" s="8" customFormat="1" ht="12.75" x14ac:dyDescent="0.2">
      <c r="B81" s="40" t="s">
        <v>49</v>
      </c>
      <c r="C81" s="29"/>
      <c r="D81" s="24"/>
      <c r="E81" s="25"/>
      <c r="F81" s="24"/>
      <c r="G81" s="25"/>
      <c r="H81" s="24">
        <v>29200</v>
      </c>
      <c r="I81" s="25">
        <f>H81*2</f>
        <v>58400</v>
      </c>
      <c r="J81" s="24"/>
      <c r="K81" s="25"/>
      <c r="L81" s="32"/>
      <c r="M81" s="32"/>
      <c r="N81" s="24"/>
      <c r="O81" s="25"/>
      <c r="P81" s="24"/>
      <c r="Q81" s="25"/>
      <c r="R81" s="24">
        <v>8000</v>
      </c>
      <c r="S81" s="25">
        <f>R81</f>
        <v>8000</v>
      </c>
    </row>
    <row r="82" spans="2:19" s="8" customFormat="1" ht="12.75" x14ac:dyDescent="0.2">
      <c r="B82" s="21"/>
      <c r="C82" s="30"/>
      <c r="D82" s="22"/>
      <c r="E82" s="23"/>
      <c r="F82" s="22"/>
      <c r="G82" s="23"/>
      <c r="H82" s="22"/>
      <c r="I82" s="23"/>
      <c r="J82" s="22"/>
      <c r="K82" s="23"/>
      <c r="L82" s="72"/>
      <c r="M82" s="72"/>
      <c r="N82" s="22"/>
      <c r="O82" s="23"/>
      <c r="P82" s="22"/>
      <c r="Q82" s="23"/>
      <c r="R82" s="22"/>
      <c r="S82" s="23"/>
    </row>
    <row r="83" spans="2:19" s="8" customFormat="1" ht="12.75" x14ac:dyDescent="0.2">
      <c r="B83" s="8" t="s">
        <v>74</v>
      </c>
      <c r="C83" s="29" t="s">
        <v>15</v>
      </c>
      <c r="D83" s="24">
        <v>3000</v>
      </c>
      <c r="E83" s="25">
        <f>D83</f>
        <v>3000</v>
      </c>
      <c r="F83" s="24">
        <v>8000</v>
      </c>
      <c r="G83" s="25">
        <f>2*F83</f>
        <v>16000</v>
      </c>
      <c r="H83" s="24"/>
      <c r="I83" s="25"/>
      <c r="J83" s="24"/>
      <c r="K83" s="25"/>
      <c r="L83" s="32"/>
      <c r="M83" s="32"/>
      <c r="N83" s="24"/>
      <c r="O83" s="25"/>
      <c r="P83" s="24"/>
      <c r="Q83" s="25"/>
      <c r="R83" s="24"/>
      <c r="S83" s="25"/>
    </row>
    <row r="84" spans="2:19" s="8" customFormat="1" ht="12.75" x14ac:dyDescent="0.2">
      <c r="B84" s="8" t="s">
        <v>20</v>
      </c>
      <c r="C84" s="29" t="s">
        <v>15</v>
      </c>
      <c r="D84" s="24">
        <v>5000</v>
      </c>
      <c r="E84" s="25">
        <f>D84</f>
        <v>5000</v>
      </c>
      <c r="F84" s="24"/>
      <c r="G84" s="25"/>
      <c r="H84" s="24"/>
      <c r="I84" s="25"/>
      <c r="J84" s="24"/>
      <c r="K84" s="25"/>
      <c r="L84" s="32"/>
      <c r="M84" s="32"/>
      <c r="N84" s="24"/>
      <c r="O84" s="25"/>
      <c r="P84" s="24"/>
      <c r="Q84" s="25"/>
      <c r="R84" s="24"/>
      <c r="S84" s="25"/>
    </row>
    <row r="85" spans="2:19" s="8" customFormat="1" ht="12.75" x14ac:dyDescent="0.2">
      <c r="B85" s="8" t="s">
        <v>47</v>
      </c>
      <c r="C85" s="29" t="s">
        <v>15</v>
      </c>
      <c r="D85" s="24"/>
      <c r="E85" s="25"/>
      <c r="F85" s="24"/>
      <c r="G85" s="25"/>
      <c r="H85" s="24"/>
      <c r="I85" s="25"/>
      <c r="J85" s="24"/>
      <c r="K85" s="25"/>
      <c r="L85" s="32"/>
      <c r="M85" s="32"/>
      <c r="N85" s="24"/>
      <c r="O85" s="25"/>
      <c r="P85" s="24"/>
      <c r="Q85" s="25"/>
      <c r="R85" s="24"/>
      <c r="S85" s="25"/>
    </row>
    <row r="86" spans="2:19" s="8" customFormat="1" ht="12.75" x14ac:dyDescent="0.2">
      <c r="B86" s="8" t="s">
        <v>60</v>
      </c>
      <c r="C86" s="29" t="s">
        <v>15</v>
      </c>
      <c r="D86" s="24"/>
      <c r="E86" s="25"/>
      <c r="F86" s="24">
        <v>5000</v>
      </c>
      <c r="G86" s="25">
        <f>F86*2</f>
        <v>10000</v>
      </c>
      <c r="H86" s="24"/>
      <c r="I86" s="25"/>
      <c r="J86" s="24"/>
      <c r="K86" s="25"/>
      <c r="L86" s="32"/>
      <c r="M86" s="32"/>
      <c r="N86" s="24"/>
      <c r="O86" s="25"/>
      <c r="P86" s="24"/>
      <c r="Q86" s="25"/>
      <c r="R86" s="24"/>
      <c r="S86" s="25"/>
    </row>
    <row r="87" spans="2:19" s="8" customFormat="1" ht="12.75" x14ac:dyDescent="0.2">
      <c r="B87" s="21" t="s">
        <v>62</v>
      </c>
      <c r="C87" s="30" t="s">
        <v>15</v>
      </c>
      <c r="D87" s="22">
        <v>5000</v>
      </c>
      <c r="E87" s="23">
        <f>D87*3</f>
        <v>15000</v>
      </c>
      <c r="F87" s="22"/>
      <c r="G87" s="23"/>
      <c r="H87" s="22"/>
      <c r="I87" s="23"/>
      <c r="J87" s="22"/>
      <c r="K87" s="23"/>
      <c r="L87" s="72"/>
      <c r="M87" s="72"/>
      <c r="N87" s="22"/>
      <c r="O87" s="23"/>
      <c r="P87" s="22"/>
      <c r="Q87" s="23"/>
      <c r="R87" s="22"/>
      <c r="S87" s="23"/>
    </row>
    <row r="88" spans="2:19" s="8" customFormat="1" ht="12.75" x14ac:dyDescent="0.2">
      <c r="B88" s="8" t="s">
        <v>48</v>
      </c>
      <c r="C88" s="29" t="s">
        <v>15</v>
      </c>
      <c r="D88" s="24">
        <v>4000</v>
      </c>
      <c r="E88" s="25">
        <f>2*D88</f>
        <v>8000</v>
      </c>
      <c r="F88" s="24"/>
      <c r="G88" s="25"/>
      <c r="H88" s="24"/>
      <c r="I88" s="25"/>
      <c r="J88" s="24">
        <v>3000</v>
      </c>
      <c r="K88" s="25">
        <f>4*J88</f>
        <v>12000</v>
      </c>
      <c r="L88" s="32"/>
      <c r="M88" s="32"/>
      <c r="N88" s="24">
        <v>3000</v>
      </c>
      <c r="O88" s="25">
        <f>N88</f>
        <v>3000</v>
      </c>
      <c r="P88" s="24"/>
      <c r="Q88" s="25"/>
      <c r="R88" s="24">
        <v>4000</v>
      </c>
      <c r="S88" s="25">
        <f>R88</f>
        <v>4000</v>
      </c>
    </row>
    <row r="89" spans="2:19" s="8" customFormat="1" ht="12.75" x14ac:dyDescent="0.2">
      <c r="B89" s="21"/>
      <c r="C89" s="30"/>
      <c r="D89" s="22"/>
      <c r="E89" s="23"/>
      <c r="F89" s="22"/>
      <c r="G89" s="23"/>
      <c r="H89" s="22"/>
      <c r="I89" s="23"/>
      <c r="J89" s="22"/>
      <c r="K89" s="23"/>
      <c r="L89" s="72"/>
      <c r="M89" s="72"/>
      <c r="N89" s="22"/>
      <c r="O89" s="23"/>
      <c r="P89" s="22"/>
      <c r="Q89" s="23"/>
      <c r="R89" s="22"/>
      <c r="S89" s="23"/>
    </row>
    <row r="90" spans="2:19" s="8" customFormat="1" ht="12.75" x14ac:dyDescent="0.2">
      <c r="B90" s="29" t="s">
        <v>78</v>
      </c>
      <c r="C90" s="29" t="s">
        <v>15</v>
      </c>
      <c r="D90" s="24">
        <v>3000</v>
      </c>
      <c r="E90" s="25">
        <f>D90</f>
        <v>3000</v>
      </c>
      <c r="F90" s="24"/>
      <c r="G90" s="25"/>
      <c r="H90" s="24"/>
      <c r="I90" s="25"/>
      <c r="J90" s="24"/>
      <c r="K90" s="25"/>
      <c r="L90" s="32"/>
      <c r="M90" s="32"/>
      <c r="N90" s="24"/>
      <c r="O90" s="25"/>
      <c r="P90" s="24"/>
      <c r="Q90" s="25"/>
      <c r="R90" s="24">
        <v>15277</v>
      </c>
      <c r="S90" s="25">
        <f>R90</f>
        <v>15277</v>
      </c>
    </row>
    <row r="91" spans="2:19" s="8" customFormat="1" ht="12.75" x14ac:dyDescent="0.2">
      <c r="B91" s="21"/>
      <c r="C91" s="30"/>
      <c r="D91" s="22"/>
      <c r="E91" s="23"/>
      <c r="F91" s="22"/>
      <c r="G91" s="23"/>
      <c r="H91" s="22"/>
      <c r="I91" s="23"/>
      <c r="J91" s="22"/>
      <c r="K91" s="23"/>
      <c r="L91" s="72"/>
      <c r="M91" s="72"/>
      <c r="N91" s="22"/>
      <c r="O91" s="23"/>
      <c r="P91" s="22"/>
      <c r="Q91" s="23"/>
      <c r="R91" s="22"/>
      <c r="S91" s="23"/>
    </row>
    <row r="92" spans="2:19" s="8" customFormat="1" ht="12.75" x14ac:dyDescent="0.2">
      <c r="B92" s="8" t="s">
        <v>29</v>
      </c>
      <c r="C92" s="29" t="s">
        <v>15</v>
      </c>
      <c r="D92" s="24"/>
      <c r="E92" s="25"/>
      <c r="F92" s="24"/>
      <c r="G92" s="25"/>
      <c r="H92" s="24"/>
      <c r="I92" s="25"/>
      <c r="J92" s="24">
        <v>3000</v>
      </c>
      <c r="K92" s="25">
        <f>J92*7</f>
        <v>21000</v>
      </c>
      <c r="L92" s="32"/>
      <c r="M92" s="32"/>
      <c r="N92" s="24"/>
      <c r="O92" s="25"/>
      <c r="P92" s="24"/>
      <c r="Q92" s="25"/>
      <c r="R92" s="24"/>
      <c r="S92" s="25"/>
    </row>
    <row r="93" spans="2:19" s="8" customFormat="1" ht="12.75" x14ac:dyDescent="0.2">
      <c r="B93" s="21"/>
      <c r="C93" s="30"/>
      <c r="D93" s="22"/>
      <c r="E93" s="23"/>
      <c r="F93" s="22"/>
      <c r="G93" s="23"/>
      <c r="H93" s="22"/>
      <c r="I93" s="23"/>
      <c r="J93" s="22"/>
      <c r="K93" s="23"/>
      <c r="L93" s="72"/>
      <c r="M93" s="72"/>
      <c r="N93" s="22"/>
      <c r="O93" s="23"/>
      <c r="P93" s="22"/>
      <c r="Q93" s="23"/>
      <c r="R93" s="22"/>
      <c r="S93" s="23"/>
    </row>
    <row r="94" spans="2:19" s="8" customFormat="1" ht="12.75" x14ac:dyDescent="0.2">
      <c r="B94" s="8" t="s">
        <v>25</v>
      </c>
      <c r="C94" s="29" t="s">
        <v>15</v>
      </c>
      <c r="D94" s="24"/>
      <c r="E94" s="25"/>
      <c r="F94" s="24"/>
      <c r="G94" s="25"/>
      <c r="H94" s="24">
        <v>4000</v>
      </c>
      <c r="I94" s="25">
        <f>2*H94</f>
        <v>8000</v>
      </c>
      <c r="J94" s="24"/>
      <c r="K94" s="25"/>
      <c r="L94" s="32"/>
      <c r="M94" s="32"/>
      <c r="N94" s="24"/>
      <c r="O94" s="25"/>
      <c r="P94" s="24"/>
      <c r="Q94" s="25"/>
      <c r="R94" s="24"/>
      <c r="S94" s="25"/>
    </row>
    <row r="95" spans="2:19" s="8" customFormat="1" ht="12.75" x14ac:dyDescent="0.2">
      <c r="B95" s="21"/>
      <c r="C95" s="30"/>
      <c r="D95" s="22"/>
      <c r="E95" s="23"/>
      <c r="F95" s="22"/>
      <c r="G95" s="23"/>
      <c r="H95" s="22"/>
      <c r="I95" s="23"/>
      <c r="J95" s="22"/>
      <c r="K95" s="23"/>
      <c r="L95" s="72"/>
      <c r="M95" s="72"/>
      <c r="N95" s="22"/>
      <c r="O95" s="23"/>
      <c r="P95" s="22"/>
      <c r="Q95" s="23"/>
      <c r="R95" s="22"/>
      <c r="S95" s="23"/>
    </row>
    <row r="96" spans="2:19" s="8" customFormat="1" ht="12.75" x14ac:dyDescent="0.2">
      <c r="B96" s="8" t="s">
        <v>26</v>
      </c>
      <c r="C96" s="29" t="s">
        <v>15</v>
      </c>
      <c r="D96" s="24"/>
      <c r="E96" s="25"/>
      <c r="F96" s="24"/>
      <c r="G96" s="25"/>
      <c r="H96" s="24"/>
      <c r="I96" s="25"/>
      <c r="J96" s="24"/>
      <c r="K96" s="25"/>
      <c r="L96" s="32"/>
      <c r="M96" s="32"/>
      <c r="N96" s="24"/>
      <c r="O96" s="25"/>
      <c r="P96" s="24"/>
      <c r="Q96" s="25"/>
      <c r="R96" s="24"/>
      <c r="S96" s="25"/>
    </row>
    <row r="97" spans="2:19" s="8" customFormat="1" ht="12.75" x14ac:dyDescent="0.2">
      <c r="B97" s="21"/>
      <c r="C97" s="30"/>
      <c r="D97" s="22"/>
      <c r="E97" s="23"/>
      <c r="F97" s="22"/>
      <c r="G97" s="23"/>
      <c r="H97" s="22"/>
      <c r="I97" s="23"/>
      <c r="J97" s="22"/>
      <c r="K97" s="23"/>
      <c r="L97" s="72"/>
      <c r="M97" s="72"/>
      <c r="N97" s="22"/>
      <c r="O97" s="23"/>
      <c r="P97" s="22"/>
      <c r="Q97" s="23"/>
      <c r="R97" s="22"/>
      <c r="S97" s="23"/>
    </row>
    <row r="98" spans="2:19" s="8" customFormat="1" ht="12.75" x14ac:dyDescent="0.2">
      <c r="B98" s="8" t="s">
        <v>75</v>
      </c>
      <c r="C98" s="29" t="s">
        <v>15</v>
      </c>
      <c r="D98" s="24">
        <v>5000</v>
      </c>
      <c r="E98" s="25">
        <f>D98*10</f>
        <v>50000</v>
      </c>
      <c r="F98" s="24"/>
      <c r="G98" s="25"/>
      <c r="H98" s="24"/>
      <c r="I98" s="25"/>
      <c r="J98" s="24">
        <v>3000</v>
      </c>
      <c r="K98" s="25">
        <f>6*J98</f>
        <v>18000</v>
      </c>
      <c r="L98" s="32"/>
      <c r="M98" s="32"/>
      <c r="N98" s="24"/>
      <c r="O98" s="25"/>
      <c r="P98" s="24">
        <v>4000</v>
      </c>
      <c r="Q98" s="25">
        <f>P98</f>
        <v>4000</v>
      </c>
      <c r="R98" s="24"/>
      <c r="S98" s="25"/>
    </row>
    <row r="99" spans="2:19" s="8" customFormat="1" ht="12.75" x14ac:dyDescent="0.2">
      <c r="B99" s="8" t="s">
        <v>55</v>
      </c>
      <c r="C99" s="29" t="s">
        <v>15</v>
      </c>
      <c r="D99" s="24">
        <v>10000</v>
      </c>
      <c r="E99" s="25">
        <f>D99</f>
        <v>10000</v>
      </c>
      <c r="F99" s="24"/>
      <c r="G99" s="25"/>
      <c r="H99" s="24">
        <v>8000</v>
      </c>
      <c r="I99" s="25">
        <f>H99</f>
        <v>8000</v>
      </c>
      <c r="J99" s="24">
        <v>3577</v>
      </c>
      <c r="K99" s="25">
        <f>J99</f>
        <v>3577</v>
      </c>
      <c r="L99" s="32">
        <f>10068/1.442796</f>
        <v>6978.1174885430792</v>
      </c>
      <c r="M99" s="32">
        <f>L99</f>
        <v>6978.1174885430792</v>
      </c>
      <c r="N99" s="24"/>
      <c r="O99" s="25"/>
      <c r="P99" s="24"/>
      <c r="Q99" s="25"/>
      <c r="R99" s="24"/>
      <c r="S99" s="25"/>
    </row>
    <row r="100" spans="2:19" s="8" customFormat="1" ht="12.75" x14ac:dyDescent="0.2">
      <c r="B100" s="8" t="s">
        <v>56</v>
      </c>
      <c r="C100" s="29" t="s">
        <v>15</v>
      </c>
      <c r="D100" s="24"/>
      <c r="E100" s="25"/>
      <c r="F100" s="24"/>
      <c r="G100" s="25"/>
      <c r="H100" s="24"/>
      <c r="I100" s="25"/>
      <c r="J100" s="24"/>
      <c r="K100" s="25"/>
      <c r="L100" s="32">
        <f>22000/1.442796</f>
        <v>15248.170912589167</v>
      </c>
      <c r="M100" s="32">
        <f>L100</f>
        <v>15248.170912589167</v>
      </c>
      <c r="N100" s="24"/>
      <c r="O100" s="25"/>
      <c r="P100" s="24"/>
      <c r="Q100" s="25"/>
      <c r="R100" s="24"/>
      <c r="S100" s="25"/>
    </row>
    <row r="101" spans="2:19" s="8" customFormat="1" ht="12.75" x14ac:dyDescent="0.2">
      <c r="B101" s="8" t="s">
        <v>72</v>
      </c>
      <c r="C101" s="29" t="s">
        <v>15</v>
      </c>
      <c r="D101" s="24"/>
      <c r="E101" s="25"/>
      <c r="F101" s="24"/>
      <c r="G101" s="25"/>
      <c r="H101" s="24">
        <v>4000</v>
      </c>
      <c r="I101" s="25">
        <f>H101</f>
        <v>4000</v>
      </c>
      <c r="J101" s="24"/>
      <c r="K101" s="25"/>
      <c r="L101" s="32">
        <f>1623/1.442796</f>
        <v>1124.8991541423736</v>
      </c>
      <c r="M101" s="32">
        <f>L101</f>
        <v>1124.8991541423736</v>
      </c>
      <c r="N101" s="24"/>
      <c r="O101" s="25"/>
      <c r="P101" s="24"/>
      <c r="Q101" s="25"/>
      <c r="R101" s="24"/>
      <c r="S101" s="25"/>
    </row>
    <row r="102" spans="2:19" s="8" customFormat="1" ht="12.75" x14ac:dyDescent="0.2">
      <c r="B102" s="8" t="s">
        <v>59</v>
      </c>
      <c r="C102" s="29" t="s">
        <v>15</v>
      </c>
      <c r="D102" s="24"/>
      <c r="E102" s="25"/>
      <c r="F102" s="24"/>
      <c r="G102" s="25"/>
      <c r="H102" s="24"/>
      <c r="I102" s="25"/>
      <c r="J102" s="24"/>
      <c r="K102" s="25"/>
      <c r="L102" s="32"/>
      <c r="M102" s="32"/>
      <c r="N102" s="24"/>
      <c r="O102" s="25"/>
      <c r="P102" s="24"/>
      <c r="Q102" s="25"/>
      <c r="R102" s="24"/>
      <c r="S102" s="25"/>
    </row>
    <row r="103" spans="2:19" s="8" customFormat="1" ht="12.75" x14ac:dyDescent="0.2">
      <c r="B103" s="21" t="s">
        <v>76</v>
      </c>
      <c r="C103" s="30"/>
      <c r="D103" s="22">
        <v>3595</v>
      </c>
      <c r="E103" s="23">
        <f>D103</f>
        <v>3595</v>
      </c>
      <c r="F103" s="22"/>
      <c r="G103" s="23"/>
      <c r="H103" s="22"/>
      <c r="I103" s="23"/>
      <c r="J103" s="22"/>
      <c r="K103" s="23"/>
      <c r="L103" s="72"/>
      <c r="M103" s="72"/>
      <c r="N103" s="22"/>
      <c r="O103" s="23"/>
      <c r="P103" s="22"/>
      <c r="Q103" s="23"/>
      <c r="R103" s="22"/>
      <c r="S103" s="23"/>
    </row>
    <row r="104" spans="2:19" s="8" customFormat="1" ht="12.75" x14ac:dyDescent="0.2">
      <c r="B104" s="8" t="s">
        <v>73</v>
      </c>
      <c r="C104" s="29" t="s">
        <v>15</v>
      </c>
      <c r="D104" s="24">
        <v>5000</v>
      </c>
      <c r="E104" s="25">
        <f>D104</f>
        <v>5000</v>
      </c>
      <c r="F104" s="24"/>
      <c r="G104" s="25"/>
      <c r="H104" s="24">
        <v>4000</v>
      </c>
      <c r="I104" s="25">
        <f>H104*3</f>
        <v>12000</v>
      </c>
      <c r="J104" s="24"/>
      <c r="K104" s="25"/>
      <c r="L104" s="32"/>
      <c r="M104" s="32"/>
      <c r="N104" s="24"/>
      <c r="O104" s="25"/>
      <c r="P104" s="24"/>
      <c r="Q104" s="25"/>
      <c r="R104" s="24"/>
      <c r="S104" s="25"/>
    </row>
    <row r="105" spans="2:19" s="8" customFormat="1" ht="12.75" x14ac:dyDescent="0.2">
      <c r="B105" s="21"/>
      <c r="C105" s="30"/>
      <c r="D105" s="22"/>
      <c r="E105" s="23"/>
      <c r="F105" s="22"/>
      <c r="G105" s="23"/>
      <c r="H105" s="22"/>
      <c r="I105" s="23"/>
      <c r="J105" s="22"/>
      <c r="K105" s="23"/>
      <c r="L105" s="72"/>
      <c r="M105" s="72"/>
      <c r="N105" s="22"/>
      <c r="O105" s="23"/>
      <c r="P105" s="22"/>
      <c r="Q105" s="23"/>
      <c r="R105" s="22"/>
      <c r="S105" s="23"/>
    </row>
    <row r="106" spans="2:19" s="8" customFormat="1" ht="12.75" x14ac:dyDescent="0.2">
      <c r="B106" s="10" t="s">
        <v>35</v>
      </c>
      <c r="C106" s="29" t="s">
        <v>15</v>
      </c>
      <c r="D106" s="24"/>
      <c r="E106" s="25"/>
      <c r="F106" s="24"/>
      <c r="G106" s="25"/>
      <c r="H106" s="24"/>
      <c r="I106" s="25"/>
      <c r="J106" s="24"/>
      <c r="K106" s="25"/>
      <c r="L106" s="32"/>
      <c r="M106" s="32"/>
      <c r="N106" s="24"/>
      <c r="O106" s="25"/>
      <c r="P106" s="24"/>
      <c r="Q106" s="25"/>
      <c r="R106" s="24"/>
      <c r="S106" s="25"/>
    </row>
    <row r="107" spans="2:19" s="8" customFormat="1" ht="12.75" x14ac:dyDescent="0.2">
      <c r="B107" s="21"/>
      <c r="C107" s="30"/>
      <c r="D107" s="22"/>
      <c r="E107" s="23"/>
      <c r="F107" s="22"/>
      <c r="G107" s="23"/>
      <c r="H107" s="22"/>
      <c r="I107" s="23"/>
      <c r="J107" s="22"/>
      <c r="K107" s="23"/>
      <c r="L107" s="72"/>
      <c r="M107" s="72"/>
      <c r="N107" s="22"/>
      <c r="O107" s="23"/>
      <c r="P107" s="22"/>
      <c r="Q107" s="23"/>
      <c r="R107" s="22"/>
      <c r="S107" s="23"/>
    </row>
    <row r="108" spans="2:19" s="8" customFormat="1" ht="12.75" x14ac:dyDescent="0.2">
      <c r="B108" s="8" t="s">
        <v>77</v>
      </c>
      <c r="C108" s="29" t="s">
        <v>15</v>
      </c>
      <c r="D108" s="24">
        <v>6172</v>
      </c>
      <c r="E108" s="25">
        <f>D108</f>
        <v>6172</v>
      </c>
      <c r="F108" s="24"/>
      <c r="G108" s="25"/>
      <c r="H108" s="24"/>
      <c r="I108" s="25"/>
      <c r="J108" s="24"/>
      <c r="K108" s="25"/>
      <c r="L108" s="32"/>
      <c r="M108" s="32"/>
      <c r="N108" s="24"/>
      <c r="O108" s="25"/>
      <c r="P108" s="24"/>
      <c r="Q108" s="25"/>
      <c r="R108" s="24"/>
      <c r="S108" s="25"/>
    </row>
    <row r="109" spans="2:19" s="8" customFormat="1" ht="12.75" x14ac:dyDescent="0.2">
      <c r="B109" s="21"/>
      <c r="C109" s="21"/>
      <c r="D109" s="22"/>
      <c r="E109" s="23"/>
      <c r="F109" s="22"/>
      <c r="G109" s="23"/>
      <c r="H109" s="22"/>
      <c r="I109" s="23"/>
      <c r="J109" s="22"/>
      <c r="K109" s="23"/>
      <c r="L109" s="72"/>
      <c r="M109" s="72"/>
      <c r="N109" s="22"/>
      <c r="O109" s="23"/>
      <c r="P109" s="22"/>
      <c r="Q109" s="23"/>
      <c r="R109" s="22"/>
      <c r="S109" s="23"/>
    </row>
    <row r="110" spans="2:19" s="8" customFormat="1" ht="12.75" x14ac:dyDescent="0.2">
      <c r="B110" s="8" t="s">
        <v>27</v>
      </c>
      <c r="C110" s="10" t="s">
        <v>15</v>
      </c>
      <c r="D110" s="24">
        <v>3500</v>
      </c>
      <c r="E110" s="25">
        <f>7*D110</f>
        <v>24500</v>
      </c>
      <c r="F110" s="24"/>
      <c r="G110" s="25"/>
      <c r="H110" s="24"/>
      <c r="I110" s="25"/>
      <c r="J110" s="24"/>
      <c r="K110" s="25"/>
      <c r="L110" s="32"/>
      <c r="M110" s="32"/>
      <c r="N110" s="24"/>
      <c r="O110" s="25"/>
      <c r="P110" s="24"/>
      <c r="Q110" s="25"/>
      <c r="R110" s="24"/>
      <c r="S110" s="25"/>
    </row>
    <row r="111" spans="2:19" s="8" customFormat="1" ht="12.75" x14ac:dyDescent="0.2">
      <c r="B111" s="21"/>
      <c r="C111" s="21"/>
      <c r="D111" s="22"/>
      <c r="E111" s="23"/>
      <c r="F111" s="22"/>
      <c r="G111" s="23"/>
      <c r="H111" s="22"/>
      <c r="I111" s="23"/>
      <c r="J111" s="22"/>
      <c r="K111" s="23"/>
      <c r="L111" s="72"/>
      <c r="M111" s="72"/>
      <c r="N111" s="22"/>
      <c r="O111" s="23"/>
      <c r="P111" s="22"/>
      <c r="Q111" s="23"/>
      <c r="R111" s="22"/>
      <c r="S111" s="23"/>
    </row>
    <row r="112" spans="2:19" s="8" customFormat="1" ht="12.75" x14ac:dyDescent="0.2">
      <c r="B112" s="10" t="s">
        <v>66</v>
      </c>
      <c r="C112" s="10"/>
      <c r="D112" s="24">
        <v>4000</v>
      </c>
      <c r="E112" s="25">
        <f>D112*131</f>
        <v>524000</v>
      </c>
      <c r="F112" s="24">
        <v>4000</v>
      </c>
      <c r="G112" s="25">
        <f>35.51*F112</f>
        <v>142040</v>
      </c>
      <c r="H112" s="24">
        <v>4000</v>
      </c>
      <c r="I112" s="25">
        <f>H112*45</f>
        <v>180000</v>
      </c>
      <c r="J112" s="24">
        <v>4000</v>
      </c>
      <c r="K112" s="25">
        <f>135*J112</f>
        <v>540000</v>
      </c>
      <c r="L112" s="32">
        <v>4000</v>
      </c>
      <c r="M112" s="32">
        <f>L112*25.5</f>
        <v>102000</v>
      </c>
      <c r="N112" s="24">
        <v>4000</v>
      </c>
      <c r="O112" s="25">
        <f>N112*9</f>
        <v>36000</v>
      </c>
      <c r="P112" s="91" t="s">
        <v>80</v>
      </c>
      <c r="Q112" s="25"/>
      <c r="R112" s="24">
        <v>4000</v>
      </c>
      <c r="S112" s="25">
        <f>R112*101</f>
        <v>404000</v>
      </c>
    </row>
    <row r="113" spans="2:20" s="8" customFormat="1" ht="12.75" x14ac:dyDescent="0.2">
      <c r="C113" s="10"/>
      <c r="D113" s="24"/>
      <c r="E113" s="25"/>
      <c r="F113" s="24"/>
      <c r="G113" s="25"/>
      <c r="H113" s="24"/>
      <c r="I113" s="25"/>
      <c r="J113" s="24"/>
      <c r="K113" s="25"/>
      <c r="L113" s="32"/>
      <c r="M113" s="32"/>
      <c r="N113" s="24"/>
      <c r="O113" s="25"/>
      <c r="P113" s="24"/>
      <c r="Q113" s="25"/>
      <c r="R113" s="24"/>
      <c r="S113" s="25"/>
    </row>
    <row r="114" spans="2:20" s="10" customFormat="1" ht="12.75" x14ac:dyDescent="0.2">
      <c r="B114" s="10" t="s">
        <v>38</v>
      </c>
      <c r="D114" s="24"/>
      <c r="E114" s="42">
        <f>SUM(E57:E112)+SUM(E9:E55)+E6</f>
        <v>1603165</v>
      </c>
      <c r="F114" s="41"/>
      <c r="G114" s="42">
        <f>SUM(G57:G112)+SUM(G9:G55)+G6</f>
        <v>550075</v>
      </c>
      <c r="H114" s="41"/>
      <c r="I114" s="42">
        <f>SUM(I57:I112)+SUM(I9:I55)+I6</f>
        <v>811000</v>
      </c>
      <c r="J114" s="41"/>
      <c r="K114" s="42">
        <f>SUM(K57:K112)+SUM(K9:K55)+K6</f>
        <v>1874680</v>
      </c>
      <c r="L114" s="76"/>
      <c r="M114" s="42">
        <f>SUM(M57:M112)+SUM(M9:M55)+M6</f>
        <v>326044.91431914148</v>
      </c>
      <c r="N114" s="41"/>
      <c r="O114" s="42">
        <f>SUM(O57:O112)+SUM(O9:O55)+O6</f>
        <v>172592</v>
      </c>
      <c r="P114" s="41"/>
      <c r="Q114" s="42">
        <f>SUM(Q57:Q112)+SUM(Q9:Q55)+Q6</f>
        <v>198933</v>
      </c>
      <c r="R114" s="41"/>
      <c r="S114" s="42">
        <f>SUM(S57:S112)+SUM(S9:S55)+S6</f>
        <v>1152263</v>
      </c>
    </row>
    <row r="115" spans="2:20" s="10" customFormat="1" ht="12.75" x14ac:dyDescent="0.2">
      <c r="B115" s="21" t="s">
        <v>45</v>
      </c>
      <c r="C115" s="21"/>
      <c r="D115" s="43"/>
      <c r="E115" s="44">
        <v>131</v>
      </c>
      <c r="F115" s="43"/>
      <c r="G115" s="44">
        <v>36</v>
      </c>
      <c r="H115" s="43"/>
      <c r="I115" s="44">
        <v>45</v>
      </c>
      <c r="J115" s="43"/>
      <c r="K115" s="44">
        <v>135</v>
      </c>
      <c r="L115" s="30"/>
      <c r="M115" s="30">
        <v>26</v>
      </c>
      <c r="N115" s="43"/>
      <c r="O115" s="44">
        <v>11</v>
      </c>
      <c r="P115" s="43"/>
      <c r="Q115" s="44">
        <v>8</v>
      </c>
      <c r="R115" s="43"/>
      <c r="S115" s="44">
        <v>101</v>
      </c>
    </row>
    <row r="116" spans="2:20" s="46" customFormat="1" ht="15.75" customHeight="1" x14ac:dyDescent="0.2">
      <c r="B116" s="45" t="s">
        <v>39</v>
      </c>
      <c r="D116" s="77" t="s">
        <v>52</v>
      </c>
      <c r="E116" s="78">
        <f>E114/E115</f>
        <v>12237.900763358779</v>
      </c>
      <c r="F116" s="77" t="s">
        <v>52</v>
      </c>
      <c r="G116" s="78">
        <f>G114/G115</f>
        <v>15279.861111111111</v>
      </c>
      <c r="H116" s="77" t="s">
        <v>52</v>
      </c>
      <c r="I116" s="78">
        <f>I114/I115</f>
        <v>18022.222222222223</v>
      </c>
      <c r="J116" s="47" t="s">
        <v>52</v>
      </c>
      <c r="K116" s="78">
        <f>K114/K115</f>
        <v>13886.518518518518</v>
      </c>
      <c r="L116" s="47" t="s">
        <v>52</v>
      </c>
      <c r="M116" s="78">
        <f>M114/M115</f>
        <v>12540.189012274672</v>
      </c>
      <c r="N116" s="47" t="s">
        <v>53</v>
      </c>
      <c r="O116" s="78">
        <f>O114/O115</f>
        <v>15690.181818181818</v>
      </c>
      <c r="P116" s="47" t="s">
        <v>52</v>
      </c>
      <c r="Q116" s="78">
        <f>Q114/Q115</f>
        <v>24866.625</v>
      </c>
      <c r="R116" s="47" t="s">
        <v>53</v>
      </c>
      <c r="S116" s="48">
        <f>S114/S115</f>
        <v>11408.544554455446</v>
      </c>
    </row>
    <row r="117" spans="2:20" s="50" customFormat="1" ht="15.75" customHeight="1" x14ac:dyDescent="0.2">
      <c r="B117" s="49" t="s">
        <v>81</v>
      </c>
      <c r="D117" s="79"/>
      <c r="E117" s="80">
        <v>13064.52</v>
      </c>
      <c r="F117" s="79"/>
      <c r="G117" s="80">
        <v>14072.64</v>
      </c>
      <c r="H117" s="79"/>
      <c r="I117" s="80">
        <v>15544.68</v>
      </c>
      <c r="J117" s="51"/>
      <c r="K117" s="80">
        <v>13689.68</v>
      </c>
      <c r="L117" s="51"/>
      <c r="M117" s="80">
        <v>13725.24</v>
      </c>
      <c r="N117" s="51"/>
      <c r="O117" s="80">
        <v>18950</v>
      </c>
      <c r="P117" s="51"/>
      <c r="Q117" s="80">
        <v>23202.5</v>
      </c>
      <c r="R117" s="51"/>
      <c r="S117" s="52">
        <v>12805.56</v>
      </c>
    </row>
    <row r="118" spans="2:20" s="10" customFormat="1" ht="15.75" customHeight="1" x14ac:dyDescent="0.2">
      <c r="B118" s="45" t="s">
        <v>79</v>
      </c>
      <c r="D118" s="81"/>
      <c r="E118" s="88">
        <f>(E116-I123)</f>
        <v>-1329.5493671060121</v>
      </c>
      <c r="F118" s="81"/>
      <c r="G118" s="89">
        <f>G116-I123</f>
        <v>1712.4109806463202</v>
      </c>
      <c r="H118" s="81"/>
      <c r="I118" s="89">
        <f>I116-I123</f>
        <v>4454.7720917574316</v>
      </c>
      <c r="J118" s="53"/>
      <c r="K118" s="89">
        <f>K116-I123</f>
        <v>319.06838805372718</v>
      </c>
      <c r="L118" s="53"/>
      <c r="M118" s="88">
        <f>M116-I123</f>
        <v>-1027.2611181901193</v>
      </c>
      <c r="N118" s="53"/>
      <c r="O118" s="89">
        <f>O116-I123</f>
        <v>2122.7316877170269</v>
      </c>
      <c r="P118" s="53"/>
      <c r="Q118" s="89">
        <f>Q116-I123</f>
        <v>11299.174869535209</v>
      </c>
      <c r="R118" s="53"/>
      <c r="S118" s="90">
        <f>S116-I123</f>
        <v>-2158.9055760093452</v>
      </c>
      <c r="T118" s="54"/>
    </row>
    <row r="119" spans="2:20" s="8" customFormat="1" ht="13.5" thickBot="1" x14ac:dyDescent="0.25"/>
    <row r="120" spans="2:20" s="8" customFormat="1" ht="13.5" thickBot="1" x14ac:dyDescent="0.25">
      <c r="B120" s="55" t="s">
        <v>54</v>
      </c>
      <c r="C120" s="56"/>
      <c r="D120" s="56"/>
      <c r="E120" s="57" t="s">
        <v>51</v>
      </c>
      <c r="F120" s="58" t="s">
        <v>50</v>
      </c>
      <c r="G120" s="57" t="s">
        <v>57</v>
      </c>
      <c r="H120" s="57" t="s">
        <v>63</v>
      </c>
      <c r="I120" s="57" t="s">
        <v>68</v>
      </c>
    </row>
    <row r="121" spans="2:20" s="8" customFormat="1" ht="12.75" x14ac:dyDescent="0.2">
      <c r="B121" s="59" t="s">
        <v>42</v>
      </c>
      <c r="C121" s="60"/>
      <c r="D121" s="60"/>
      <c r="E121" s="83">
        <v>6821811</v>
      </c>
      <c r="F121" s="84">
        <v>6760837</v>
      </c>
      <c r="G121" s="85">
        <v>6550057.5</v>
      </c>
      <c r="H121" s="84">
        <v>6644134.5</v>
      </c>
      <c r="I121" s="84">
        <f>E114+G114+I114+K114+M114+O114+S114+Q114</f>
        <v>6688752.9143191418</v>
      </c>
      <c r="M121" s="61"/>
    </row>
    <row r="122" spans="2:20" s="8" customFormat="1" ht="12.75" x14ac:dyDescent="0.2">
      <c r="B122" s="62" t="s">
        <v>44</v>
      </c>
      <c r="C122" s="63"/>
      <c r="D122" s="63"/>
      <c r="E122" s="64">
        <v>556</v>
      </c>
      <c r="F122" s="64">
        <v>546</v>
      </c>
      <c r="G122" s="64">
        <v>514</v>
      </c>
      <c r="H122" s="64">
        <v>483</v>
      </c>
      <c r="I122" s="64">
        <f>E115+G115+I115+K115+M115+O115+Q115+S115</f>
        <v>493</v>
      </c>
      <c r="M122" s="61"/>
      <c r="R122" s="61"/>
    </row>
    <row r="123" spans="2:20" s="8" customFormat="1" ht="13.5" thickBot="1" x14ac:dyDescent="0.25">
      <c r="B123" s="65" t="s">
        <v>43</v>
      </c>
      <c r="C123" s="66"/>
      <c r="D123" s="66"/>
      <c r="E123" s="86">
        <v>12269.44</v>
      </c>
      <c r="F123" s="86">
        <f>F121/F122</f>
        <v>12382.485347985348</v>
      </c>
      <c r="G123" s="86">
        <f>G121/G122</f>
        <v>12743.30252918288</v>
      </c>
      <c r="H123" s="87">
        <v>13755.97</v>
      </c>
      <c r="I123" s="87">
        <f>I121/I122</f>
        <v>13567.450130464791</v>
      </c>
    </row>
    <row r="124" spans="2:20" ht="60" customHeight="1" x14ac:dyDescent="0.35">
      <c r="E124" s="2"/>
      <c r="I124" s="82"/>
      <c r="K124" s="3"/>
      <c r="L124" s="3"/>
      <c r="M124" s="4"/>
      <c r="O124" s="3"/>
      <c r="Q124" s="3"/>
      <c r="S124" s="3"/>
    </row>
    <row r="125" spans="2:20" x14ac:dyDescent="0.25">
      <c r="E125" s="2"/>
      <c r="I125" s="3"/>
      <c r="K125" s="3"/>
      <c r="L125" s="3"/>
      <c r="M125" s="3"/>
      <c r="O125" s="3"/>
      <c r="Q125" s="3"/>
      <c r="S125" s="3"/>
    </row>
    <row r="126" spans="2:20" x14ac:dyDescent="0.25">
      <c r="E126" s="2"/>
      <c r="I126" s="3"/>
      <c r="K126" s="3"/>
      <c r="L126" s="3"/>
      <c r="M126" s="3"/>
      <c r="O126" s="3"/>
      <c r="Q126" s="3"/>
      <c r="S126" s="3"/>
    </row>
    <row r="127" spans="2:20" x14ac:dyDescent="0.25">
      <c r="I127" s="3"/>
      <c r="K127" s="3"/>
      <c r="L127" s="3"/>
      <c r="M127" s="3"/>
      <c r="O127" s="3"/>
      <c r="Q127" s="3"/>
      <c r="S127" s="3"/>
    </row>
    <row r="128" spans="2:20" x14ac:dyDescent="0.25">
      <c r="I128" s="3"/>
      <c r="K128" s="3"/>
      <c r="L128" s="3"/>
      <c r="M128" s="5"/>
      <c r="O128" s="3"/>
      <c r="Q128" s="3"/>
      <c r="S128" s="3"/>
    </row>
    <row r="129" spans="9:19" x14ac:dyDescent="0.25">
      <c r="I129" s="3"/>
      <c r="K129" s="3"/>
      <c r="L129" s="3"/>
      <c r="M129" s="3"/>
      <c r="O129" s="3"/>
      <c r="Q129" s="3"/>
      <c r="S129" s="3"/>
    </row>
    <row r="130" spans="9:19" x14ac:dyDescent="0.25">
      <c r="I130" s="3"/>
      <c r="K130" s="3"/>
      <c r="L130" s="3"/>
      <c r="M130" s="6"/>
      <c r="O130" s="3"/>
      <c r="Q130" s="3"/>
      <c r="S130" s="3"/>
    </row>
    <row r="131" spans="9:19" x14ac:dyDescent="0.25">
      <c r="I131" s="3"/>
      <c r="K131" s="3"/>
      <c r="L131" s="3"/>
      <c r="M131" s="3"/>
      <c r="O131" s="3"/>
      <c r="Q131" s="3"/>
    </row>
    <row r="132" spans="9:19" x14ac:dyDescent="0.25">
      <c r="I132" s="3"/>
      <c r="K132" s="3"/>
      <c r="L132" s="3"/>
      <c r="M132" s="3"/>
      <c r="O132" s="3"/>
      <c r="Q132" s="3"/>
    </row>
    <row r="133" spans="9:19" x14ac:dyDescent="0.25">
      <c r="I133" s="3"/>
      <c r="K133" s="3"/>
      <c r="L133" s="3"/>
      <c r="M133" s="3"/>
      <c r="O133" s="3"/>
      <c r="Q133" s="3"/>
    </row>
    <row r="134" spans="9:19" x14ac:dyDescent="0.25">
      <c r="I134" s="3"/>
      <c r="K134" s="3"/>
      <c r="L134" s="3"/>
      <c r="M134" s="3"/>
      <c r="O134" s="3"/>
    </row>
    <row r="135" spans="9:19" x14ac:dyDescent="0.25">
      <c r="I135" s="3"/>
      <c r="K135" s="3"/>
      <c r="L135" s="3"/>
      <c r="M135" s="3"/>
      <c r="O135" s="3"/>
    </row>
    <row r="136" spans="9:19" x14ac:dyDescent="0.25">
      <c r="I136" s="3"/>
      <c r="K136" s="3"/>
      <c r="L136" s="3"/>
      <c r="M136" s="3"/>
      <c r="O136" s="3"/>
    </row>
    <row r="137" spans="9:19" x14ac:dyDescent="0.25">
      <c r="I137" s="3"/>
      <c r="K137" s="3"/>
      <c r="L137" s="3"/>
      <c r="M137" s="3"/>
      <c r="O137" s="3"/>
    </row>
    <row r="138" spans="9:19" x14ac:dyDescent="0.25">
      <c r="I138" s="3"/>
      <c r="K138" s="3"/>
      <c r="L138" s="3"/>
      <c r="M138" s="3"/>
      <c r="O138" s="3"/>
    </row>
    <row r="139" spans="9:19" x14ac:dyDescent="0.25">
      <c r="I139" s="3"/>
      <c r="K139" s="3"/>
      <c r="L139" s="3"/>
      <c r="M139" s="3"/>
      <c r="O139" s="3"/>
    </row>
    <row r="140" spans="9:19" x14ac:dyDescent="0.25">
      <c r="I140" s="3"/>
      <c r="K140" s="3"/>
      <c r="L140" s="3"/>
      <c r="M140" s="3"/>
      <c r="O140" s="3"/>
    </row>
    <row r="141" spans="9:19" x14ac:dyDescent="0.25">
      <c r="I141" s="3"/>
      <c r="K141" s="3"/>
      <c r="L141" s="3"/>
      <c r="M141" s="3"/>
      <c r="O141" s="3"/>
    </row>
    <row r="142" spans="9:19" x14ac:dyDescent="0.25">
      <c r="I142" s="3"/>
      <c r="K142" s="3"/>
      <c r="L142" s="3"/>
      <c r="M142" s="3"/>
      <c r="O142" s="3"/>
    </row>
    <row r="143" spans="9:19" x14ac:dyDescent="0.25">
      <c r="I143" s="3"/>
      <c r="K143" s="3"/>
      <c r="L143" s="3"/>
      <c r="M143" s="3"/>
      <c r="O143" s="3"/>
    </row>
    <row r="144" spans="9:19" x14ac:dyDescent="0.25">
      <c r="K144" s="3"/>
      <c r="L144" s="3"/>
      <c r="M144" s="3"/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</sheetData>
  <mergeCells count="27">
    <mergeCell ref="R116:R118"/>
    <mergeCell ref="H116:H118"/>
    <mergeCell ref="J116:J118"/>
    <mergeCell ref="L116:L118"/>
    <mergeCell ref="N116:N118"/>
    <mergeCell ref="P116:P118"/>
    <mergeCell ref="B11:B15"/>
    <mergeCell ref="B26:B28"/>
    <mergeCell ref="B36:B38"/>
    <mergeCell ref="D116:D118"/>
    <mergeCell ref="F116:F118"/>
    <mergeCell ref="R3:S3"/>
    <mergeCell ref="D7:E7"/>
    <mergeCell ref="F7:G7"/>
    <mergeCell ref="H7:I7"/>
    <mergeCell ref="J7:K7"/>
    <mergeCell ref="P7:Q7"/>
    <mergeCell ref="D3:E3"/>
    <mergeCell ref="F3:G3"/>
    <mergeCell ref="H3:I3"/>
    <mergeCell ref="J3:K3"/>
    <mergeCell ref="N3:O3"/>
    <mergeCell ref="P3:Q3"/>
    <mergeCell ref="L3:M3"/>
    <mergeCell ref="L7:M7"/>
    <mergeCell ref="N7:O7"/>
    <mergeCell ref="R7:S7"/>
  </mergeCells>
  <pageMargins left="0.7" right="0.7" top="0.75" bottom="0.75" header="0.3" footer="0.3"/>
  <pageSetup paperSize="8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Helsingør Lærerforening</dc:creator>
  <cp:lastModifiedBy>Merete Svalgaard Knuhtsen</cp:lastModifiedBy>
  <cp:lastPrinted>2017-11-28T12:06:43Z</cp:lastPrinted>
  <dcterms:created xsi:type="dcterms:W3CDTF">2016-01-19T07:53:43Z</dcterms:created>
  <dcterms:modified xsi:type="dcterms:W3CDTF">2021-08-17T11:43:01Z</dcterms:modified>
</cp:coreProperties>
</file>